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8195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9" i="1" l="1"/>
  <c r="K8" i="1"/>
  <c r="K7" i="1"/>
  <c r="K14" i="1"/>
  <c r="K13" i="1"/>
  <c r="K12" i="1"/>
  <c r="E151" i="1" a="1"/>
  <c r="E151" i="1" s="1"/>
  <c r="E142" i="1"/>
  <c r="E141" i="1"/>
  <c r="E140" i="1"/>
  <c r="E139" i="1"/>
  <c r="E138" i="1"/>
  <c r="E137" i="1"/>
  <c r="E136" i="1"/>
  <c r="B146" i="1"/>
  <c r="B121" i="1"/>
  <c r="E30" i="1"/>
  <c r="E29" i="1"/>
  <c r="I18" i="1"/>
  <c r="I19" i="1"/>
  <c r="I17" i="1"/>
  <c r="H19" i="1"/>
  <c r="H18" i="1"/>
  <c r="H17" i="1"/>
  <c r="E43" i="1"/>
  <c r="E42" i="1"/>
  <c r="D43" i="1"/>
  <c r="D42" i="1"/>
  <c r="A92" i="1" a="1"/>
  <c r="A92" i="1" s="1"/>
  <c r="D87" i="1" a="1"/>
  <c r="D87" i="1" s="1"/>
  <c r="A87" i="1" a="1"/>
  <c r="A87" i="1" s="1"/>
  <c r="B26" i="1"/>
  <c r="B18" i="1"/>
  <c r="F67" i="1" s="1"/>
  <c r="H66" i="1" s="1" a="1"/>
  <c r="B21" i="1"/>
  <c r="B19" i="1"/>
  <c r="B22" i="1"/>
  <c r="B23" i="1"/>
  <c r="G8" i="1"/>
  <c r="G9" i="1"/>
  <c r="G11" i="1"/>
  <c r="G12" i="1"/>
  <c r="G13" i="1"/>
  <c r="G14" i="1"/>
  <c r="G7" i="1"/>
  <c r="J7" i="1"/>
  <c r="J8" i="1"/>
  <c r="J9" i="1"/>
  <c r="H11" i="1"/>
  <c r="F115" i="1" a="1"/>
  <c r="F115" i="1" s="1"/>
  <c r="F116" i="1"/>
  <c r="G116" i="1"/>
  <c r="H117" i="1"/>
  <c r="I117" i="1"/>
  <c r="B112" i="1"/>
  <c r="E24" i="1"/>
  <c r="E22" i="1"/>
  <c r="A80" i="1" a="1"/>
  <c r="G42" i="1" a="1"/>
  <c r="G42" i="1" s="1"/>
  <c r="J37" i="1" a="1"/>
  <c r="J37" i="1" s="1"/>
  <c r="J38" i="1"/>
  <c r="K38" i="1"/>
  <c r="L38" i="1"/>
  <c r="G37" i="1" a="1"/>
  <c r="H37" i="1" s="1"/>
  <c r="G37" i="1"/>
  <c r="H38" i="1"/>
  <c r="I38" i="1"/>
  <c r="G39" i="1"/>
  <c r="F53" i="1"/>
  <c r="C53" i="1"/>
  <c r="F49" i="1"/>
  <c r="C49" i="1"/>
  <c r="B43" i="1"/>
  <c r="B42" i="1"/>
  <c r="A43" i="1"/>
  <c r="A42" i="1"/>
  <c r="E38" i="1"/>
  <c r="E37" i="1"/>
  <c r="D38" i="1"/>
  <c r="D37" i="1"/>
  <c r="B38" i="1"/>
  <c r="B37" i="1"/>
  <c r="A38" i="1"/>
  <c r="A37" i="1"/>
  <c r="B28" i="1"/>
  <c r="B111" i="1" s="1"/>
  <c r="B27" i="1"/>
  <c r="B25" i="1"/>
  <c r="E62" i="1" s="1"/>
  <c r="B24" i="1"/>
  <c r="A56" i="1" s="1"/>
  <c r="B20" i="1"/>
  <c r="B63" i="1" s="1"/>
  <c r="C62" i="1" s="1"/>
  <c r="B12" i="1"/>
  <c r="B11" i="1"/>
  <c r="B10" i="1"/>
  <c r="B9" i="1"/>
  <c r="C8" i="1"/>
  <c r="B8" i="1"/>
  <c r="B5" i="1"/>
  <c r="B6" i="1" s="1"/>
  <c r="E153" i="1" l="1"/>
  <c r="E152" i="1"/>
  <c r="E148" i="1"/>
  <c r="E146" i="1"/>
  <c r="E147" i="1"/>
  <c r="B129" i="1" a="1"/>
  <c r="B129" i="1" s="1"/>
  <c r="B105" i="1" a="1"/>
  <c r="B105" i="1" s="1"/>
  <c r="B122" i="1"/>
  <c r="B123" i="1"/>
  <c r="B125" i="1"/>
  <c r="B107" i="1"/>
  <c r="J42" i="1" a="1"/>
  <c r="K42" i="1" s="1"/>
  <c r="J44" i="1"/>
  <c r="C93" i="1"/>
  <c r="B93" i="1"/>
  <c r="A93" i="1"/>
  <c r="C94" i="1"/>
  <c r="C92" i="1"/>
  <c r="B94" i="1"/>
  <c r="B92" i="1"/>
  <c r="A94" i="1"/>
  <c r="E88" i="1"/>
  <c r="D88" i="1"/>
  <c r="E89" i="1"/>
  <c r="E87" i="1"/>
  <c r="F88" i="1"/>
  <c r="F89" i="1"/>
  <c r="F87" i="1"/>
  <c r="D89" i="1"/>
  <c r="A88" i="1"/>
  <c r="C88" i="1"/>
  <c r="B88" i="1"/>
  <c r="C89" i="1"/>
  <c r="C87" i="1"/>
  <c r="B89" i="1"/>
  <c r="B87" i="1"/>
  <c r="A89" i="1"/>
  <c r="C47" i="1"/>
  <c r="F47" i="1"/>
  <c r="C51" i="1"/>
  <c r="H66" i="1"/>
  <c r="H67" i="1"/>
  <c r="I67" i="1"/>
  <c r="J67" i="1"/>
  <c r="B30" i="1"/>
  <c r="E21" i="1"/>
  <c r="E25" i="1" s="1"/>
  <c r="M57" i="1" s="1"/>
  <c r="L58" i="1" s="1"/>
  <c r="E26" i="1"/>
  <c r="B57" i="1"/>
  <c r="B29" i="1"/>
  <c r="F58" i="1"/>
  <c r="B58" i="1"/>
  <c r="C57" i="1" s="1"/>
  <c r="E58" i="1"/>
  <c r="F57" i="1" s="1"/>
  <c r="C63" i="1"/>
  <c r="E63" i="1"/>
  <c r="F62" i="1" s="1"/>
  <c r="C58" i="1"/>
  <c r="D61" i="1"/>
  <c r="F63" i="1"/>
  <c r="F51" i="1"/>
  <c r="D56" i="1"/>
  <c r="B62" i="1"/>
  <c r="B110" i="1"/>
  <c r="A61" i="1"/>
  <c r="E57" i="1"/>
  <c r="E105" i="1"/>
  <c r="E111" i="1"/>
  <c r="E108" i="1"/>
  <c r="E109" i="1"/>
  <c r="B131" i="1"/>
  <c r="B130" i="1"/>
  <c r="H118" i="1"/>
  <c r="F117" i="1"/>
  <c r="H115" i="1"/>
  <c r="G117" i="1"/>
  <c r="G118" i="1"/>
  <c r="I116" i="1"/>
  <c r="G115" i="1"/>
  <c r="I118" i="1"/>
  <c r="I115" i="1"/>
  <c r="F118" i="1"/>
  <c r="H116" i="1"/>
  <c r="L42" i="1"/>
  <c r="G43" i="1"/>
  <c r="I43" i="1"/>
  <c r="H43" i="1"/>
  <c r="I44" i="1"/>
  <c r="I42" i="1"/>
  <c r="H44" i="1"/>
  <c r="H42" i="1"/>
  <c r="G44" i="1"/>
  <c r="K39" i="1"/>
  <c r="K37" i="1"/>
  <c r="L39" i="1"/>
  <c r="L37" i="1"/>
  <c r="J39" i="1"/>
  <c r="G38" i="1"/>
  <c r="I39" i="1"/>
  <c r="I37" i="1"/>
  <c r="H39" i="1"/>
  <c r="I68" i="1"/>
  <c r="I66" i="1"/>
  <c r="J68" i="1"/>
  <c r="J66" i="1"/>
  <c r="H68" i="1"/>
  <c r="E129" i="1" l="1" a="1"/>
  <c r="E132" i="1" s="1"/>
  <c r="B132" i="1"/>
  <c r="B124" i="1"/>
  <c r="B106" i="1"/>
  <c r="B108" i="1"/>
  <c r="J42" i="1"/>
  <c r="K44" i="1"/>
  <c r="J43" i="1"/>
  <c r="K43" i="1"/>
  <c r="D92" i="1" a="1"/>
  <c r="F94" i="1" s="1"/>
  <c r="L44" i="1"/>
  <c r="L43" i="1"/>
  <c r="M61" i="1"/>
  <c r="L62" i="1" s="1"/>
  <c r="M62" i="1"/>
  <c r="I57" i="1"/>
  <c r="I61" i="1"/>
  <c r="J58" i="1"/>
  <c r="J62" i="1"/>
  <c r="M58" i="1"/>
  <c r="E23" i="1"/>
  <c r="J57" i="1"/>
  <c r="I58" i="1" s="1"/>
  <c r="L61" i="1"/>
  <c r="L57" i="1"/>
  <c r="J61" i="1"/>
  <c r="I62" i="1" s="1"/>
  <c r="F52" i="1"/>
  <c r="K51" i="1" s="1" a="1"/>
  <c r="C48" i="1"/>
  <c r="H47" i="1" s="1" a="1"/>
  <c r="C52" i="1"/>
  <c r="H51" i="1" s="1" a="1"/>
  <c r="F48" i="1"/>
  <c r="K47" i="1" s="1" a="1"/>
  <c r="E106" i="1"/>
  <c r="E112" i="1"/>
  <c r="E110" i="1"/>
  <c r="E107" i="1"/>
  <c r="E131" i="1" l="1"/>
  <c r="E129" i="1"/>
  <c r="E130" i="1"/>
  <c r="E135" i="1"/>
  <c r="F93" i="1"/>
  <c r="E94" i="1"/>
  <c r="D93" i="1"/>
  <c r="D92" i="1"/>
  <c r="F92" i="1"/>
  <c r="D94" i="1"/>
  <c r="E93" i="1"/>
  <c r="E92" i="1"/>
  <c r="K75" i="1" a="1"/>
  <c r="K60" i="1"/>
  <c r="K56" i="1"/>
  <c r="K70" i="1" s="1" a="1"/>
  <c r="K71" i="1" s="1"/>
  <c r="H60" i="1"/>
  <c r="H75" i="1" s="1" a="1"/>
  <c r="I77" i="1" s="1"/>
  <c r="H56" i="1"/>
  <c r="H70" i="1" s="1" a="1"/>
  <c r="H7" i="1"/>
  <c r="M53" i="1"/>
  <c r="K51" i="1"/>
  <c r="K53" i="1"/>
  <c r="M51" i="1"/>
  <c r="M52" i="1"/>
  <c r="L53" i="1"/>
  <c r="L51" i="1"/>
  <c r="K52" i="1"/>
  <c r="L52" i="1"/>
  <c r="H77" i="1"/>
  <c r="I76" i="1"/>
  <c r="L70" i="1"/>
  <c r="B148" i="1"/>
  <c r="H9" i="1" s="1"/>
  <c r="M49" i="1"/>
  <c r="L49" i="1"/>
  <c r="K48" i="1"/>
  <c r="K47" i="1"/>
  <c r="D70" i="1" s="1" a="1"/>
  <c r="D70" i="1" s="1"/>
  <c r="L48" i="1"/>
  <c r="M48" i="1"/>
  <c r="L47" i="1"/>
  <c r="K49" i="1"/>
  <c r="M47" i="1"/>
  <c r="M71" i="1"/>
  <c r="K70" i="1"/>
  <c r="J53" i="1"/>
  <c r="H52" i="1"/>
  <c r="I53" i="1"/>
  <c r="I52" i="1"/>
  <c r="J51" i="1"/>
  <c r="H53" i="1"/>
  <c r="I51" i="1"/>
  <c r="J52" i="1"/>
  <c r="H51" i="1"/>
  <c r="J76" i="1"/>
  <c r="H75" i="1"/>
  <c r="K72" i="1"/>
  <c r="I75" i="1"/>
  <c r="B147" i="1"/>
  <c r="H8" i="1" s="1"/>
  <c r="J47" i="1"/>
  <c r="H47" i="1"/>
  <c r="I49" i="1"/>
  <c r="I48" i="1"/>
  <c r="I47" i="1"/>
  <c r="J49" i="1"/>
  <c r="J48" i="1"/>
  <c r="H49" i="1"/>
  <c r="H48" i="1"/>
  <c r="J75" i="1"/>
  <c r="H76" i="1"/>
  <c r="A75" i="1" l="1" a="1"/>
  <c r="B76" i="1" s="1"/>
  <c r="H70" i="1"/>
  <c r="I72" i="1"/>
  <c r="I70" i="1"/>
  <c r="H72" i="1"/>
  <c r="H71" i="1"/>
  <c r="J70" i="1"/>
  <c r="J71" i="1"/>
  <c r="I71" i="1"/>
  <c r="J72" i="1"/>
  <c r="J77" i="1"/>
  <c r="L72" i="1"/>
  <c r="L71" i="1"/>
  <c r="M70" i="1"/>
  <c r="M72" i="1"/>
  <c r="L77" i="1"/>
  <c r="K76" i="1"/>
  <c r="K77" i="1"/>
  <c r="M76" i="1"/>
  <c r="M75" i="1"/>
  <c r="L75" i="1"/>
  <c r="K75" i="1"/>
  <c r="L76" i="1"/>
  <c r="M77" i="1"/>
  <c r="F71" i="1"/>
  <c r="D72" i="1"/>
  <c r="F72" i="1"/>
  <c r="E72" i="1"/>
  <c r="F70" i="1"/>
  <c r="D75" i="1" a="1"/>
  <c r="E70" i="1"/>
  <c r="E71" i="1"/>
  <c r="D71" i="1"/>
  <c r="A70" i="1" a="1"/>
  <c r="B152" i="1" l="1"/>
  <c r="H13" i="1" s="1"/>
  <c r="A76" i="1"/>
  <c r="B75" i="1"/>
  <c r="A77" i="1"/>
  <c r="A75" i="1"/>
  <c r="C75" i="1"/>
  <c r="C77" i="1"/>
  <c r="B77" i="1"/>
  <c r="C76" i="1"/>
  <c r="A70" i="1"/>
  <c r="C70" i="1"/>
  <c r="B72" i="1"/>
  <c r="C71" i="1"/>
  <c r="C72" i="1"/>
  <c r="A71" i="1"/>
  <c r="A81" i="1" s="1"/>
  <c r="A72" i="1"/>
  <c r="B70" i="1"/>
  <c r="B71" i="1"/>
  <c r="F75" i="1"/>
  <c r="F76" i="1"/>
  <c r="F77" i="1"/>
  <c r="E76" i="1"/>
  <c r="D75" i="1"/>
  <c r="D77" i="1"/>
  <c r="A82" i="1" s="1"/>
  <c r="E77" i="1"/>
  <c r="B82" i="1" s="1"/>
  <c r="D76" i="1"/>
  <c r="E75" i="1"/>
  <c r="B153" i="1" l="1"/>
  <c r="H14" i="1" s="1"/>
  <c r="B151" i="1"/>
  <c r="H12" i="1" s="1"/>
  <c r="C81" i="1"/>
  <c r="C80" i="1"/>
  <c r="C82" i="1"/>
  <c r="B80" i="1"/>
  <c r="A80" i="1"/>
  <c r="D80" i="1" s="1" a="1"/>
  <c r="D81" i="1" s="1"/>
  <c r="B81" i="1"/>
  <c r="E82" i="1" l="1"/>
  <c r="D80" i="1"/>
  <c r="F81" i="1"/>
  <c r="E80" i="1"/>
  <c r="D82" i="1"/>
  <c r="F80" i="1"/>
  <c r="E81" i="1"/>
  <c r="F82" i="1"/>
  <c r="I82" i="1" l="1" a="1"/>
  <c r="I84" i="1" l="1"/>
  <c r="I82" i="1"/>
  <c r="K83" i="1"/>
  <c r="J83" i="1"/>
  <c r="K82" i="1"/>
  <c r="J82" i="1"/>
  <c r="J84" i="1"/>
  <c r="K84" i="1"/>
  <c r="I83" i="1"/>
</calcChain>
</file>

<file path=xl/sharedStrings.xml><?xml version="1.0" encoding="utf-8"?>
<sst xmlns="http://schemas.openxmlformats.org/spreadsheetml/2006/main" count="143" uniqueCount="134">
  <si>
    <t>Everything ref Teo and Slocum's paper on EAC - "Principle of Elastic Averaging for Rapid Precision Design"</t>
  </si>
  <si>
    <t>Manufacturing Error (um)</t>
  </si>
  <si>
    <t>Desired Accuracy (um)</t>
  </si>
  <si>
    <t>Performance Ratio</t>
  </si>
  <si>
    <t>Number of Contacts</t>
  </si>
  <si>
    <t>Spacing of features (rad)</t>
  </si>
  <si>
    <t>theta feature 1</t>
  </si>
  <si>
    <t>theata feature 2</t>
  </si>
  <si>
    <t>theta feature 3</t>
  </si>
  <si>
    <t>theta feature 4</t>
  </si>
  <si>
    <t>theta feature 5</t>
  </si>
  <si>
    <t>theta feature 6</t>
  </si>
  <si>
    <t>user specified number of features</t>
  </si>
  <si>
    <t>just be sure to expand code</t>
  </si>
  <si>
    <t>coupling radius , m</t>
  </si>
  <si>
    <t>length of flexure ,m</t>
  </si>
  <si>
    <t>half length of flexure, m</t>
  </si>
  <si>
    <t>thickness of flexure, t, m</t>
  </si>
  <si>
    <t>width of flexure, b, m</t>
  </si>
  <si>
    <t>Elastic Modulus, Pa</t>
  </si>
  <si>
    <t>Area</t>
  </si>
  <si>
    <t>Moment of Inertia, I</t>
  </si>
  <si>
    <t>diameter of dowel pin</t>
  </si>
  <si>
    <t>Slot Gap</t>
  </si>
  <si>
    <t>V</t>
  </si>
  <si>
    <t>W</t>
  </si>
  <si>
    <t>dl</t>
  </si>
  <si>
    <t>Orientation Matrix 1</t>
  </si>
  <si>
    <t>Orientation Matrix 2</t>
  </si>
  <si>
    <t>Orientation Matrix 3</t>
  </si>
  <si>
    <t>Orientation Matrix 4</t>
  </si>
  <si>
    <t>Jacobian 1, 1</t>
  </si>
  <si>
    <t>Jacobian 2, 1</t>
  </si>
  <si>
    <t>Jacobian 3, 1</t>
  </si>
  <si>
    <t>Jacobian 4, 1</t>
  </si>
  <si>
    <t>Stiffness Beam Element 1</t>
  </si>
  <si>
    <t>Stiffness Beam Element 3</t>
  </si>
  <si>
    <t>Stiffness Beam Element 4</t>
  </si>
  <si>
    <t>Stiffness Beam Element 2</t>
  </si>
  <si>
    <t>Transpose Jacobian 1,1</t>
  </si>
  <si>
    <t>Transpose Jacobian 2,1</t>
  </si>
  <si>
    <t>Transpose Jacobian4,1</t>
  </si>
  <si>
    <t>K01</t>
  </si>
  <si>
    <t>K02</t>
  </si>
  <si>
    <t>K03</t>
  </si>
  <si>
    <t>K04</t>
  </si>
  <si>
    <t>Second Jacobian</t>
  </si>
  <si>
    <t>Transpose OM 1</t>
  </si>
  <si>
    <t>Transpose OM 2</t>
  </si>
  <si>
    <t>Transpose OM 3</t>
  </si>
  <si>
    <t>Transpose OM 4</t>
  </si>
  <si>
    <t>Stiffness of each elastic element</t>
  </si>
  <si>
    <t>Transpose Second Jacobian</t>
  </si>
  <si>
    <t>Transpose Jacobian 3,1</t>
  </si>
  <si>
    <t>Sum Stiffness Transpose</t>
  </si>
  <si>
    <t>Stiffness of Body Element</t>
  </si>
  <si>
    <t>Body Properties</t>
  </si>
  <si>
    <t>wbody</t>
  </si>
  <si>
    <t>body thickness</t>
  </si>
  <si>
    <t>Abody</t>
  </si>
  <si>
    <t>Ebody</t>
  </si>
  <si>
    <t>Ibody</t>
  </si>
  <si>
    <t>Stiffness Body Element 1</t>
  </si>
  <si>
    <t>Lbody</t>
  </si>
  <si>
    <t>Stiffness Body Element 2</t>
  </si>
  <si>
    <t>Stiffness Body Element 3</t>
  </si>
  <si>
    <t>Stiffness Body Element 4</t>
  </si>
  <si>
    <t>KB1</t>
  </si>
  <si>
    <t>KB2</t>
  </si>
  <si>
    <t>KB3</t>
  </si>
  <si>
    <t>KB4</t>
  </si>
  <si>
    <t>k01= inv(Jj1')*kbj1*inv(Jj1) ;</t>
  </si>
  <si>
    <t>Sum Stiffness. KI</t>
  </si>
  <si>
    <t>KOP1</t>
  </si>
  <si>
    <t>KOP2</t>
  </si>
  <si>
    <t>KOP3</t>
  </si>
  <si>
    <t>KOP4</t>
  </si>
  <si>
    <t>KOp1=G1*inv(Ji1')*KI1*inv(Ji1)*G1';</t>
  </si>
  <si>
    <t>System Stiffness</t>
  </si>
  <si>
    <t>Constraint Matrix</t>
  </si>
  <si>
    <t>e1</t>
  </si>
  <si>
    <t>e2</t>
  </si>
  <si>
    <t>e3</t>
  </si>
  <si>
    <t>e4</t>
  </si>
  <si>
    <t>Delta1</t>
  </si>
  <si>
    <t>Delta2</t>
  </si>
  <si>
    <t>Delta3</t>
  </si>
  <si>
    <t>Delta4</t>
  </si>
  <si>
    <t>Displacements due to offsets</t>
  </si>
  <si>
    <t>Resultant Forces</t>
  </si>
  <si>
    <t>Fa1</t>
  </si>
  <si>
    <t>Fb1</t>
  </si>
  <si>
    <t>Fa2</t>
  </si>
  <si>
    <t>Fb2</t>
  </si>
  <si>
    <t>Fa3</t>
  </si>
  <si>
    <t>Fb3</t>
  </si>
  <si>
    <t>Fa4</t>
  </si>
  <si>
    <t>Fb4</t>
  </si>
  <si>
    <t>K22 Stiffness</t>
  </si>
  <si>
    <t>Gs</t>
  </si>
  <si>
    <t>Go</t>
  </si>
  <si>
    <t>Q</t>
  </si>
  <si>
    <t>e</t>
  </si>
  <si>
    <t>Ahat</t>
  </si>
  <si>
    <t>CMp</t>
  </si>
  <si>
    <t>Equilibrium Pos</t>
  </si>
  <si>
    <t>Displacement Vectors</t>
  </si>
  <si>
    <t>V1</t>
  </si>
  <si>
    <t>V2</t>
  </si>
  <si>
    <t>V3</t>
  </si>
  <si>
    <t>V4</t>
  </si>
  <si>
    <t>Reaction Forces</t>
  </si>
  <si>
    <t>FXD</t>
  </si>
  <si>
    <t>FYD</t>
  </si>
  <si>
    <t>MZD</t>
  </si>
  <si>
    <t>FXR</t>
  </si>
  <si>
    <t>FYR</t>
  </si>
  <si>
    <t>MZR</t>
  </si>
  <si>
    <t>Net Reaction Forces in X and Y directions</t>
  </si>
  <si>
    <t>Net Displacement Forces in X and Y directions</t>
  </si>
  <si>
    <t>NET FORCES</t>
  </si>
  <si>
    <t>FX</t>
  </si>
  <si>
    <t>FY</t>
  </si>
  <si>
    <t>MZ</t>
  </si>
  <si>
    <t>POSITION CHANGE</t>
  </si>
  <si>
    <t>DELX</t>
  </si>
  <si>
    <t>DELY</t>
  </si>
  <si>
    <t>DELTHETAZ</t>
  </si>
  <si>
    <t>CALCULATED VALUES</t>
  </si>
  <si>
    <t>Kx (N/m, N/um)</t>
  </si>
  <si>
    <t>Ky (N/m, N/um)</t>
  </si>
  <si>
    <t>Kthetaz (N/rad, N/urad)</t>
  </si>
  <si>
    <t>Offset of each dowel pin , meters</t>
  </si>
  <si>
    <t>POSITION CHANGE,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</si>
</sst>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0.000000"/>
    <numFmt numFmtId="166" formatCode="0.00000000"/>
    <numFmt numFmtId="167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2" fontId="0" fillId="18" borderId="1" xfId="0" applyNumberFormat="1" applyFill="1" applyBorder="1" applyAlignment="1">
      <alignment horizontal="left"/>
    </xf>
    <xf numFmtId="2" fontId="0" fillId="9" borderId="1" xfId="0" applyNumberFormat="1" applyFill="1" applyBorder="1" applyAlignment="1">
      <alignment horizontal="left"/>
    </xf>
    <xf numFmtId="2" fontId="0" fillId="16" borderId="1" xfId="0" applyNumberFormat="1" applyFill="1" applyBorder="1" applyAlignment="1">
      <alignment horizontal="left"/>
    </xf>
    <xf numFmtId="2" fontId="0" fillId="16" borderId="9" xfId="0" applyNumberFormat="1" applyFill="1" applyBorder="1" applyAlignment="1">
      <alignment horizontal="left"/>
    </xf>
    <xf numFmtId="2" fontId="0" fillId="0" borderId="1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2" fontId="0" fillId="20" borderId="1" xfId="0" applyNumberFormat="1" applyFill="1" applyBorder="1" applyAlignment="1">
      <alignment horizontal="left"/>
    </xf>
    <xf numFmtId="2" fontId="0" fillId="15" borderId="1" xfId="0" applyNumberFormat="1" applyFill="1" applyBorder="1" applyAlignment="1">
      <alignment horizontal="left"/>
    </xf>
    <xf numFmtId="2" fontId="0" fillId="15" borderId="9" xfId="0" applyNumberFormat="1" applyFill="1" applyBorder="1" applyAlignment="1">
      <alignment horizontal="left"/>
    </xf>
    <xf numFmtId="2" fontId="0" fillId="0" borderId="1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1" fillId="10" borderId="7" xfId="0" applyNumberFormat="1" applyFont="1" applyFill="1" applyBorder="1"/>
    <xf numFmtId="2" fontId="0" fillId="0" borderId="2" xfId="0" applyNumberFormat="1" applyBorder="1"/>
    <xf numFmtId="2" fontId="0" fillId="0" borderId="8" xfId="0" applyNumberFormat="1" applyBorder="1"/>
    <xf numFmtId="2" fontId="1" fillId="10" borderId="9" xfId="0" applyNumberFormat="1" applyFont="1" applyFill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2" xfId="0" applyNumberFormat="1" applyBorder="1"/>
    <xf numFmtId="2" fontId="0" fillId="0" borderId="1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3" xfId="0" applyNumberFormat="1" applyBorder="1"/>
    <xf numFmtId="2" fontId="0" fillId="18" borderId="8" xfId="0" applyNumberFormat="1" applyFill="1" applyBorder="1" applyAlignment="1">
      <alignment horizontal="left"/>
    </xf>
    <xf numFmtId="2" fontId="0" fillId="0" borderId="7" xfId="0" applyNumberFormat="1" applyBorder="1"/>
    <xf numFmtId="2" fontId="0" fillId="0" borderId="8" xfId="0" applyNumberFormat="1" applyBorder="1" applyAlignment="1">
      <alignment horizontal="left"/>
    </xf>
    <xf numFmtId="2" fontId="0" fillId="20" borderId="8" xfId="0" applyNumberFormat="1" applyFill="1" applyBorder="1" applyAlignment="1">
      <alignment horizontal="left"/>
    </xf>
    <xf numFmtId="2" fontId="0" fillId="0" borderId="4" xfId="0" applyNumberFormat="1" applyBorder="1"/>
    <xf numFmtId="2" fontId="0" fillId="21" borderId="8" xfId="0" applyNumberFormat="1" applyFill="1" applyBorder="1"/>
    <xf numFmtId="2" fontId="0" fillId="21" borderId="1" xfId="0" applyNumberFormat="1" applyFill="1" applyBorder="1"/>
    <xf numFmtId="2" fontId="0" fillId="0" borderId="15" xfId="0" applyNumberFormat="1" applyBorder="1"/>
    <xf numFmtId="2" fontId="0" fillId="21" borderId="10" xfId="0" applyNumberFormat="1" applyFill="1" applyBorder="1"/>
    <xf numFmtId="2" fontId="0" fillId="21" borderId="11" xfId="0" applyNumberFormat="1" applyFill="1" applyBorder="1"/>
    <xf numFmtId="2" fontId="0" fillId="0" borderId="11" xfId="0" applyNumberFormat="1" applyBorder="1"/>
    <xf numFmtId="2" fontId="0" fillId="10" borderId="9" xfId="0" applyNumberFormat="1" applyFill="1" applyBorder="1"/>
    <xf numFmtId="2" fontId="1" fillId="9" borderId="3" xfId="0" applyNumberFormat="1" applyFon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21" xfId="0" applyNumberFormat="1" applyFill="1" applyBorder="1"/>
    <xf numFmtId="2" fontId="0" fillId="4" borderId="5" xfId="0" applyNumberFormat="1" applyFill="1" applyBorder="1"/>
    <xf numFmtId="2" fontId="0" fillId="4" borderId="6" xfId="0" applyNumberFormat="1" applyFill="1" applyBorder="1"/>
    <xf numFmtId="2" fontId="0" fillId="4" borderId="21" xfId="0" applyNumberFormat="1" applyFill="1" applyBorder="1"/>
    <xf numFmtId="2" fontId="0" fillId="4" borderId="7" xfId="0" applyNumberFormat="1" applyFill="1" applyBorder="1"/>
    <xf numFmtId="2" fontId="0" fillId="2" borderId="8" xfId="0" applyNumberFormat="1" applyFill="1" applyBorder="1"/>
    <xf numFmtId="2" fontId="0" fillId="2" borderId="1" xfId="0" applyNumberFormat="1" applyFill="1" applyBorder="1"/>
    <xf numFmtId="2" fontId="0" fillId="2" borderId="14" xfId="0" applyNumberFormat="1" applyFill="1" applyBorder="1"/>
    <xf numFmtId="2" fontId="0" fillId="4" borderId="8" xfId="0" applyNumberFormat="1" applyFill="1" applyBorder="1"/>
    <xf numFmtId="2" fontId="0" fillId="4" borderId="1" xfId="0" applyNumberFormat="1" applyFill="1" applyBorder="1"/>
    <xf numFmtId="2" fontId="0" fillId="4" borderId="14" xfId="0" applyNumberFormat="1" applyFill="1" applyBorder="1"/>
    <xf numFmtId="2" fontId="0" fillId="4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22" xfId="0" applyNumberFormat="1" applyFill="1" applyBorder="1"/>
    <xf numFmtId="2" fontId="0" fillId="4" borderId="10" xfId="0" applyNumberFormat="1" applyFill="1" applyBorder="1"/>
    <xf numFmtId="2" fontId="0" fillId="4" borderId="11" xfId="0" applyNumberFormat="1" applyFill="1" applyBorder="1"/>
    <xf numFmtId="2" fontId="0" fillId="4" borderId="22" xfId="0" applyNumberFormat="1" applyFill="1" applyBorder="1"/>
    <xf numFmtId="2" fontId="0" fillId="4" borderId="12" xfId="0" applyNumberFormat="1" applyFill="1" applyBorder="1"/>
    <xf numFmtId="2" fontId="0" fillId="2" borderId="13" xfId="0" applyNumberFormat="1" applyFill="1" applyBorder="1"/>
    <xf numFmtId="2" fontId="0" fillId="4" borderId="13" xfId="0" applyNumberFormat="1" applyFill="1" applyBorder="1"/>
    <xf numFmtId="2" fontId="0" fillId="0" borderId="24" xfId="0" applyNumberFormat="1" applyBorder="1"/>
    <xf numFmtId="2" fontId="0" fillId="3" borderId="5" xfId="0" applyNumberFormat="1" applyFill="1" applyBorder="1"/>
    <xf numFmtId="2" fontId="0" fillId="3" borderId="6" xfId="0" applyNumberFormat="1" applyFill="1" applyBorder="1"/>
    <xf numFmtId="2" fontId="0" fillId="3" borderId="7" xfId="0" applyNumberFormat="1" applyFill="1" applyBorder="1"/>
    <xf numFmtId="2" fontId="0" fillId="5" borderId="5" xfId="0" applyNumberFormat="1" applyFill="1" applyBorder="1"/>
    <xf numFmtId="2" fontId="0" fillId="5" borderId="6" xfId="0" applyNumberFormat="1" applyFill="1" applyBorder="1"/>
    <xf numFmtId="2" fontId="0" fillId="5" borderId="7" xfId="0" applyNumberFormat="1" applyFill="1" applyBorder="1"/>
    <xf numFmtId="2" fontId="0" fillId="3" borderId="8" xfId="0" applyNumberFormat="1" applyFill="1" applyBorder="1"/>
    <xf numFmtId="2" fontId="0" fillId="3" borderId="1" xfId="0" applyNumberFormat="1" applyFill="1" applyBorder="1"/>
    <xf numFmtId="2" fontId="0" fillId="3" borderId="9" xfId="0" applyNumberFormat="1" applyFill="1" applyBorder="1"/>
    <xf numFmtId="2" fontId="0" fillId="5" borderId="8" xfId="0" applyNumberFormat="1" applyFill="1" applyBorder="1"/>
    <xf numFmtId="2" fontId="0" fillId="5" borderId="1" xfId="0" applyNumberFormat="1" applyFill="1" applyBorder="1"/>
    <xf numFmtId="2" fontId="0" fillId="5" borderId="9" xfId="0" applyNumberFormat="1" applyFill="1" applyBorder="1"/>
    <xf numFmtId="2" fontId="0" fillId="3" borderId="10" xfId="0" applyNumberFormat="1" applyFill="1" applyBorder="1"/>
    <xf numFmtId="2" fontId="0" fillId="3" borderId="11" xfId="0" applyNumberFormat="1" applyFill="1" applyBorder="1"/>
    <xf numFmtId="2" fontId="0" fillId="3" borderId="12" xfId="0" applyNumberFormat="1" applyFill="1" applyBorder="1"/>
    <xf numFmtId="2" fontId="0" fillId="5" borderId="10" xfId="0" applyNumberFormat="1" applyFill="1" applyBorder="1"/>
    <xf numFmtId="2" fontId="0" fillId="5" borderId="11" xfId="0" applyNumberFormat="1" applyFill="1" applyBorder="1"/>
    <xf numFmtId="2" fontId="0" fillId="5" borderId="12" xfId="0" applyNumberFormat="1" applyFill="1" applyBorder="1"/>
    <xf numFmtId="2" fontId="0" fillId="8" borderId="5" xfId="0" applyNumberFormat="1" applyFill="1" applyBorder="1"/>
    <xf numFmtId="2" fontId="0" fillId="8" borderId="6" xfId="0" applyNumberFormat="1" applyFill="1" applyBorder="1"/>
    <xf numFmtId="2" fontId="0" fillId="8" borderId="7" xfId="0" applyNumberFormat="1" applyFill="1" applyBorder="1"/>
    <xf numFmtId="2" fontId="0" fillId="10" borderId="5" xfId="0" applyNumberFormat="1" applyFill="1" applyBorder="1"/>
    <xf numFmtId="2" fontId="0" fillId="10" borderId="6" xfId="0" applyNumberFormat="1" applyFill="1" applyBorder="1"/>
    <xf numFmtId="2" fontId="0" fillId="10" borderId="7" xfId="0" applyNumberFormat="1" applyFill="1" applyBorder="1"/>
    <xf numFmtId="2" fontId="0" fillId="8" borderId="8" xfId="0" applyNumberFormat="1" applyFill="1" applyBorder="1"/>
    <xf numFmtId="2" fontId="0" fillId="8" borderId="1" xfId="0" applyNumberFormat="1" applyFill="1" applyBorder="1"/>
    <xf numFmtId="2" fontId="0" fillId="8" borderId="9" xfId="0" applyNumberFormat="1" applyFill="1" applyBorder="1"/>
    <xf numFmtId="2" fontId="0" fillId="10" borderId="8" xfId="0" applyNumberFormat="1" applyFill="1" applyBorder="1"/>
    <xf numFmtId="2" fontId="0" fillId="10" borderId="1" xfId="0" applyNumberFormat="1" applyFill="1" applyBorder="1"/>
    <xf numFmtId="2" fontId="0" fillId="8" borderId="10" xfId="0" applyNumberFormat="1" applyFill="1" applyBorder="1"/>
    <xf numFmtId="2" fontId="0" fillId="8" borderId="11" xfId="0" applyNumberFormat="1" applyFill="1" applyBorder="1"/>
    <xf numFmtId="2" fontId="0" fillId="8" borderId="12" xfId="0" applyNumberFormat="1" applyFill="1" applyBorder="1"/>
    <xf numFmtId="2" fontId="0" fillId="10" borderId="10" xfId="0" applyNumberFormat="1" applyFill="1" applyBorder="1"/>
    <xf numFmtId="2" fontId="0" fillId="10" borderId="11" xfId="0" applyNumberFormat="1" applyFill="1" applyBorder="1"/>
    <xf numFmtId="2" fontId="0" fillId="10" borderId="12" xfId="0" applyNumberFormat="1" applyFill="1" applyBorder="1"/>
    <xf numFmtId="2" fontId="0" fillId="8" borderId="13" xfId="0" applyNumberFormat="1" applyFill="1" applyBorder="1"/>
    <xf numFmtId="2" fontId="0" fillId="11" borderId="5" xfId="0" applyNumberFormat="1" applyFill="1" applyBorder="1"/>
    <xf numFmtId="2" fontId="0" fillId="11" borderId="6" xfId="0" applyNumberFormat="1" applyFill="1" applyBorder="1"/>
    <xf numFmtId="2" fontId="0" fillId="11" borderId="7" xfId="0" applyNumberFormat="1" applyFill="1" applyBorder="1"/>
    <xf numFmtId="2" fontId="0" fillId="11" borderId="15" xfId="0" applyNumberFormat="1" applyFill="1" applyBorder="1"/>
    <xf numFmtId="2" fontId="0" fillId="11" borderId="8" xfId="0" applyNumberFormat="1" applyFill="1" applyBorder="1"/>
    <xf numFmtId="2" fontId="0" fillId="11" borderId="1" xfId="0" applyNumberFormat="1" applyFill="1" applyBorder="1"/>
    <xf numFmtId="2" fontId="0" fillId="11" borderId="9" xfId="0" applyNumberFormat="1" applyFill="1" applyBorder="1"/>
    <xf numFmtId="2" fontId="0" fillId="0" borderId="23" xfId="0" applyNumberFormat="1" applyBorder="1"/>
    <xf numFmtId="2" fontId="0" fillId="11" borderId="10" xfId="0" applyNumberFormat="1" applyFill="1" applyBorder="1"/>
    <xf numFmtId="2" fontId="0" fillId="11" borderId="11" xfId="0" applyNumberFormat="1" applyFill="1" applyBorder="1"/>
    <xf numFmtId="2" fontId="0" fillId="11" borderId="12" xfId="0" applyNumberFormat="1" applyFill="1" applyBorder="1"/>
    <xf numFmtId="2" fontId="0" fillId="5" borderId="19" xfId="0" applyNumberFormat="1" applyFill="1" applyBorder="1"/>
    <xf numFmtId="2" fontId="0" fillId="12" borderId="5" xfId="0" applyNumberFormat="1" applyFill="1" applyBorder="1"/>
    <xf numFmtId="2" fontId="0" fillId="12" borderId="6" xfId="0" applyNumberFormat="1" applyFill="1" applyBorder="1"/>
    <xf numFmtId="2" fontId="0" fillId="12" borderId="7" xfId="0" applyNumberFormat="1" applyFill="1" applyBorder="1"/>
    <xf numFmtId="2" fontId="0" fillId="12" borderId="25" xfId="0" applyNumberFormat="1" applyFill="1" applyBorder="1"/>
    <xf numFmtId="2" fontId="0" fillId="12" borderId="4" xfId="0" applyNumberFormat="1" applyFill="1" applyBorder="1"/>
    <xf numFmtId="2" fontId="0" fillId="12" borderId="26" xfId="0" applyNumberFormat="1" applyFill="1" applyBorder="1"/>
    <xf numFmtId="2" fontId="0" fillId="12" borderId="20" xfId="0" applyNumberFormat="1" applyFill="1" applyBorder="1"/>
    <xf numFmtId="2" fontId="0" fillId="12" borderId="29" xfId="0" applyNumberFormat="1" applyFill="1" applyBorder="1"/>
    <xf numFmtId="2" fontId="0" fillId="12" borderId="30" xfId="0" applyNumberFormat="1" applyFill="1" applyBorder="1"/>
    <xf numFmtId="2" fontId="0" fillId="5" borderId="13" xfId="0" applyNumberFormat="1" applyFill="1" applyBorder="1"/>
    <xf numFmtId="2" fontId="0" fillId="12" borderId="13" xfId="0" applyNumberFormat="1" applyFill="1" applyBorder="1"/>
    <xf numFmtId="2" fontId="0" fillId="5" borderId="3" xfId="0" applyNumberFormat="1" applyFill="1" applyBorder="1"/>
    <xf numFmtId="2" fontId="0" fillId="5" borderId="27" xfId="0" applyNumberFormat="1" applyFill="1" applyBorder="1"/>
    <xf numFmtId="2" fontId="0" fillId="5" borderId="28" xfId="0" applyNumberFormat="1" applyFill="1" applyBorder="1"/>
    <xf numFmtId="2" fontId="0" fillId="5" borderId="16" xfId="0" applyNumberFormat="1" applyFill="1" applyBorder="1"/>
    <xf numFmtId="2" fontId="0" fillId="5" borderId="17" xfId="0" applyNumberFormat="1" applyFill="1" applyBorder="1"/>
    <xf numFmtId="2" fontId="0" fillId="5" borderId="25" xfId="0" applyNumberFormat="1" applyFill="1" applyBorder="1"/>
    <xf numFmtId="2" fontId="0" fillId="5" borderId="4" xfId="0" applyNumberFormat="1" applyFill="1" applyBorder="1"/>
    <xf numFmtId="2" fontId="0" fillId="5" borderId="26" xfId="0" applyNumberFormat="1" applyFill="1" applyBorder="1"/>
    <xf numFmtId="2" fontId="0" fillId="14" borderId="32" xfId="0" applyNumberFormat="1" applyFill="1" applyBorder="1"/>
    <xf numFmtId="2" fontId="0" fillId="14" borderId="33" xfId="0" applyNumberFormat="1" applyFill="1" applyBorder="1"/>
    <xf numFmtId="2" fontId="0" fillId="14" borderId="34" xfId="0" applyNumberFormat="1" applyFill="1" applyBorder="1"/>
    <xf numFmtId="2" fontId="0" fillId="5" borderId="20" xfId="0" applyNumberFormat="1" applyFill="1" applyBorder="1"/>
    <xf numFmtId="2" fontId="0" fillId="5" borderId="29" xfId="0" applyNumberFormat="1" applyFill="1" applyBorder="1"/>
    <xf numFmtId="2" fontId="0" fillId="5" borderId="30" xfId="0" applyNumberFormat="1" applyFill="1" applyBorder="1"/>
    <xf numFmtId="2" fontId="0" fillId="14" borderId="35" xfId="0" applyNumberFormat="1" applyFill="1" applyBorder="1"/>
    <xf numFmtId="2" fontId="0" fillId="14" borderId="1" xfId="0" applyNumberFormat="1" applyFill="1" applyBorder="1"/>
    <xf numFmtId="2" fontId="0" fillId="14" borderId="36" xfId="0" applyNumberFormat="1" applyFill="1" applyBorder="1"/>
    <xf numFmtId="2" fontId="0" fillId="13" borderId="1" xfId="0" applyNumberFormat="1" applyFill="1" applyBorder="1"/>
    <xf numFmtId="2" fontId="0" fillId="14" borderId="37" xfId="0" applyNumberFormat="1" applyFill="1" applyBorder="1"/>
    <xf numFmtId="2" fontId="0" fillId="14" borderId="31" xfId="0" applyNumberFormat="1" applyFill="1" applyBorder="1"/>
    <xf numFmtId="2" fontId="0" fillId="14" borderId="38" xfId="0" applyNumberFormat="1" applyFill="1" applyBorder="1"/>
    <xf numFmtId="2" fontId="0" fillId="13" borderId="3" xfId="0" applyNumberFormat="1" applyFill="1" applyBorder="1"/>
    <xf numFmtId="2" fontId="0" fillId="13" borderId="5" xfId="0" applyNumberFormat="1" applyFill="1" applyBorder="1"/>
    <xf numFmtId="2" fontId="0" fillId="13" borderId="6" xfId="0" applyNumberFormat="1" applyFill="1" applyBorder="1"/>
    <xf numFmtId="2" fontId="0" fillId="13" borderId="7" xfId="0" applyNumberFormat="1" applyFill="1" applyBorder="1"/>
    <xf numFmtId="2" fontId="0" fillId="13" borderId="8" xfId="0" applyNumberFormat="1" applyFill="1" applyBorder="1"/>
    <xf numFmtId="2" fontId="0" fillId="13" borderId="9" xfId="0" applyNumberFormat="1" applyFill="1" applyBorder="1"/>
    <xf numFmtId="2" fontId="0" fillId="13" borderId="10" xfId="0" applyNumberFormat="1" applyFill="1" applyBorder="1"/>
    <xf numFmtId="2" fontId="0" fillId="13" borderId="11" xfId="0" applyNumberFormat="1" applyFill="1" applyBorder="1"/>
    <xf numFmtId="2" fontId="0" fillId="13" borderId="12" xfId="0" applyNumberFormat="1" applyFill="1" applyBorder="1"/>
    <xf numFmtId="2" fontId="0" fillId="13" borderId="4" xfId="0" applyNumberFormat="1" applyFill="1" applyBorder="1"/>
    <xf numFmtId="2" fontId="0" fillId="2" borderId="7" xfId="0" applyNumberFormat="1" applyFill="1" applyBorder="1"/>
    <xf numFmtId="2" fontId="0" fillId="2" borderId="9" xfId="0" applyNumberFormat="1" applyFill="1" applyBorder="1"/>
    <xf numFmtId="2" fontId="0" fillId="2" borderId="12" xfId="0" applyNumberFormat="1" applyFill="1" applyBorder="1"/>
    <xf numFmtId="2" fontId="0" fillId="8" borderId="17" xfId="0" applyNumberFormat="1" applyFill="1" applyBorder="1"/>
    <xf numFmtId="2" fontId="0" fillId="12" borderId="8" xfId="0" applyNumberFormat="1" applyFill="1" applyBorder="1"/>
    <xf numFmtId="2" fontId="0" fillId="12" borderId="1" xfId="0" applyNumberFormat="1" applyFill="1" applyBorder="1"/>
    <xf numFmtId="2" fontId="0" fillId="12" borderId="9" xfId="0" applyNumberFormat="1" applyFill="1" applyBorder="1"/>
    <xf numFmtId="2" fontId="0" fillId="8" borderId="2" xfId="0" applyNumberFormat="1" applyFill="1" applyBorder="1"/>
    <xf numFmtId="2" fontId="0" fillId="8" borderId="18" xfId="0" applyNumberFormat="1" applyFill="1" applyBorder="1"/>
    <xf numFmtId="2" fontId="0" fillId="12" borderId="10" xfId="0" applyNumberFormat="1" applyFill="1" applyBorder="1"/>
    <xf numFmtId="2" fontId="0" fillId="12" borderId="11" xfId="0" applyNumberFormat="1" applyFill="1" applyBorder="1"/>
    <xf numFmtId="2" fontId="0" fillId="12" borderId="12" xfId="0" applyNumberFormat="1" applyFill="1" applyBorder="1"/>
    <xf numFmtId="2" fontId="0" fillId="8" borderId="16" xfId="0" applyNumberFormat="1" applyFill="1" applyBorder="1"/>
    <xf numFmtId="2" fontId="0" fillId="8" borderId="41" xfId="0" applyNumberFormat="1" applyFill="1" applyBorder="1"/>
    <xf numFmtId="2" fontId="0" fillId="0" borderId="39" xfId="0" applyNumberFormat="1" applyBorder="1"/>
    <xf numFmtId="2" fontId="0" fillId="7" borderId="1" xfId="0" applyNumberFormat="1" applyFill="1" applyBorder="1"/>
    <xf numFmtId="2" fontId="0" fillId="6" borderId="1" xfId="0" applyNumberFormat="1" applyFill="1" applyBorder="1"/>
    <xf numFmtId="2" fontId="0" fillId="15" borderId="1" xfId="0" applyNumberFormat="1" applyFill="1" applyBorder="1"/>
    <xf numFmtId="2" fontId="0" fillId="17" borderId="1" xfId="0" applyNumberFormat="1" applyFill="1" applyBorder="1"/>
    <xf numFmtId="2" fontId="0" fillId="18" borderId="1" xfId="0" applyNumberFormat="1" applyFill="1" applyBorder="1"/>
    <xf numFmtId="2" fontId="0" fillId="19" borderId="1" xfId="0" applyNumberFormat="1" applyFill="1" applyBorder="1"/>
    <xf numFmtId="164" fontId="2" fillId="10" borderId="9" xfId="0" applyNumberFormat="1" applyFont="1" applyFill="1" applyBorder="1"/>
    <xf numFmtId="164" fontId="2" fillId="10" borderId="12" xfId="0" applyNumberFormat="1" applyFont="1" applyFill="1" applyBorder="1"/>
    <xf numFmtId="165" fontId="0" fillId="0" borderId="40" xfId="0" applyNumberFormat="1" applyBorder="1"/>
    <xf numFmtId="164" fontId="0" fillId="5" borderId="7" xfId="0" applyNumberFormat="1" applyFill="1" applyBorder="1"/>
    <xf numFmtId="164" fontId="0" fillId="5" borderId="9" xfId="0" applyNumberFormat="1" applyFill="1" applyBorder="1"/>
    <xf numFmtId="164" fontId="0" fillId="5" borderId="12" xfId="0" applyNumberFormat="1" applyFill="1" applyBorder="1"/>
    <xf numFmtId="164" fontId="0" fillId="7" borderId="1" xfId="0" applyNumberFormat="1" applyFill="1" applyBorder="1"/>
    <xf numFmtId="166" fontId="0" fillId="6" borderId="1" xfId="0" applyNumberFormat="1" applyFill="1" applyBorder="1"/>
    <xf numFmtId="16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zoomScale="70" zoomScaleNormal="70" workbookViewId="0">
      <selection activeCell="K14" sqref="K14"/>
    </sheetView>
  </sheetViews>
  <sheetFormatPr defaultRowHeight="15" x14ac:dyDescent="0.25"/>
  <cols>
    <col min="1" max="1" width="25" style="10" customWidth="1"/>
    <col min="2" max="2" width="20" style="10" bestFit="1" customWidth="1"/>
    <col min="3" max="3" width="10" style="10" bestFit="1" customWidth="1"/>
    <col min="4" max="4" width="19.28515625" style="10" bestFit="1" customWidth="1"/>
    <col min="5" max="5" width="16.85546875" style="10" bestFit="1" customWidth="1"/>
    <col min="6" max="6" width="10" style="10" bestFit="1" customWidth="1"/>
    <col min="7" max="7" width="23.28515625" style="10" bestFit="1" customWidth="1"/>
    <col min="8" max="8" width="29.28515625" style="10" bestFit="1" customWidth="1"/>
    <col min="9" max="9" width="16.7109375" style="10" bestFit="1" customWidth="1"/>
    <col min="10" max="10" width="24.28515625" style="10" bestFit="1" customWidth="1"/>
    <col min="11" max="11" width="25.85546875" style="10" bestFit="1" customWidth="1"/>
    <col min="12" max="12" width="15.42578125" style="10" bestFit="1" customWidth="1"/>
    <col min="13" max="13" width="14.42578125" style="10" bestFit="1" customWidth="1"/>
    <col min="14" max="16384" width="9.140625" style="10"/>
  </cols>
  <sheetData>
    <row r="1" spans="1:12" x14ac:dyDescent="0.25">
      <c r="A1" s="10" t="s">
        <v>0</v>
      </c>
    </row>
    <row r="2" spans="1:12" ht="15.75" thickBot="1" x14ac:dyDescent="0.3">
      <c r="A2" s="11"/>
      <c r="B2" s="11"/>
    </row>
    <row r="3" spans="1:12" x14ac:dyDescent="0.25">
      <c r="A3" s="12" t="s">
        <v>1</v>
      </c>
      <c r="B3" s="13">
        <v>229</v>
      </c>
      <c r="C3" s="14"/>
    </row>
    <row r="4" spans="1:12" x14ac:dyDescent="0.25">
      <c r="A4" s="15" t="s">
        <v>2</v>
      </c>
      <c r="B4" s="16">
        <v>120</v>
      </c>
      <c r="C4" s="14"/>
    </row>
    <row r="5" spans="1:12" ht="15.75" thickBot="1" x14ac:dyDescent="0.3">
      <c r="A5" s="15" t="s">
        <v>3</v>
      </c>
      <c r="B5" s="17">
        <f>B3/B4</f>
        <v>1.9083333333333334</v>
      </c>
      <c r="C5" s="14"/>
      <c r="G5" s="11"/>
      <c r="H5" s="11"/>
      <c r="I5" s="11"/>
      <c r="J5" s="11"/>
      <c r="K5" s="11"/>
    </row>
    <row r="6" spans="1:12" ht="15.75" thickBot="1" x14ac:dyDescent="0.3">
      <c r="A6" s="18" t="s">
        <v>4</v>
      </c>
      <c r="B6" s="19">
        <f>CEILING((B5^2),1)</f>
        <v>4</v>
      </c>
      <c r="C6" s="14"/>
      <c r="F6" s="20"/>
      <c r="G6" s="21" t="s">
        <v>128</v>
      </c>
      <c r="H6" s="22"/>
      <c r="I6" s="22"/>
      <c r="J6" s="22"/>
      <c r="K6" s="23"/>
      <c r="L6" s="14"/>
    </row>
    <row r="7" spans="1:12" ht="15.75" thickBot="1" x14ac:dyDescent="0.3">
      <c r="A7" s="24"/>
      <c r="B7" s="24"/>
      <c r="F7" s="20"/>
      <c r="G7" s="25" t="str">
        <f>A146</f>
        <v>FXD</v>
      </c>
      <c r="H7" s="1">
        <f>B146</f>
        <v>6.8224176406322314</v>
      </c>
      <c r="I7" s="2"/>
      <c r="J7" s="3" t="str">
        <f t="shared" ref="I7:K14" si="0">D146</f>
        <v>FXR</v>
      </c>
      <c r="K7" s="4">
        <f>E146</f>
        <v>2.8426740169301095</v>
      </c>
      <c r="L7" s="14"/>
    </row>
    <row r="8" spans="1:12" x14ac:dyDescent="0.25">
      <c r="A8" s="12" t="s">
        <v>5</v>
      </c>
      <c r="B8" s="26">
        <f>2*PI()/B6</f>
        <v>1.5707963267948966</v>
      </c>
      <c r="C8" s="14">
        <f>DEGREES(B8)</f>
        <v>90</v>
      </c>
      <c r="F8" s="20"/>
      <c r="G8" s="25" t="str">
        <f t="shared" ref="G8:G14" si="1">A147</f>
        <v>FYD</v>
      </c>
      <c r="H8" s="1">
        <f t="shared" ref="H8:H14" si="2">B147</f>
        <v>-2.2741392135440641</v>
      </c>
      <c r="I8" s="2"/>
      <c r="J8" s="3" t="str">
        <f t="shared" si="0"/>
        <v>FYR</v>
      </c>
      <c r="K8" s="4">
        <f>E147</f>
        <v>0.56853480338600559</v>
      </c>
      <c r="L8" s="14"/>
    </row>
    <row r="9" spans="1:12" x14ac:dyDescent="0.25">
      <c r="A9" s="15" t="s">
        <v>6</v>
      </c>
      <c r="B9" s="17">
        <f>PI()/4</f>
        <v>0.78539816339744828</v>
      </c>
      <c r="C9" s="14"/>
      <c r="F9" s="20"/>
      <c r="G9" s="25" t="str">
        <f t="shared" si="1"/>
        <v>MZD</v>
      </c>
      <c r="H9" s="1">
        <f t="shared" si="2"/>
        <v>-0.73520469333333316</v>
      </c>
      <c r="I9" s="2"/>
      <c r="J9" s="3" t="str">
        <f t="shared" si="0"/>
        <v>MZR</v>
      </c>
      <c r="K9" s="4">
        <f>E148</f>
        <v>-0.61267057777777834</v>
      </c>
      <c r="L9" s="14"/>
    </row>
    <row r="10" spans="1:12" x14ac:dyDescent="0.25">
      <c r="A10" s="15" t="s">
        <v>7</v>
      </c>
      <c r="B10" s="17">
        <f>B9+B8</f>
        <v>2.3561944901923448</v>
      </c>
      <c r="C10" s="14"/>
      <c r="F10" s="20"/>
      <c r="G10" s="27"/>
      <c r="H10" s="5"/>
      <c r="I10" s="2"/>
      <c r="J10" s="5"/>
      <c r="K10" s="6"/>
      <c r="L10" s="14"/>
    </row>
    <row r="11" spans="1:12" x14ac:dyDescent="0.25">
      <c r="A11" s="15" t="s">
        <v>8</v>
      </c>
      <c r="B11" s="17">
        <f>B9+2*B8</f>
        <v>3.9269908169872414</v>
      </c>
      <c r="C11" s="14"/>
      <c r="F11" s="20"/>
      <c r="G11" s="28" t="str">
        <f t="shared" si="1"/>
        <v>NET FORCES</v>
      </c>
      <c r="H11" s="7">
        <f t="shared" si="2"/>
        <v>0</v>
      </c>
      <c r="I11" s="2"/>
      <c r="J11" s="8" t="s">
        <v>133</v>
      </c>
      <c r="K11" s="9"/>
      <c r="L11" s="14"/>
    </row>
    <row r="12" spans="1:12" ht="15.75" thickBot="1" x14ac:dyDescent="0.3">
      <c r="A12" s="18" t="s">
        <v>9</v>
      </c>
      <c r="B12" s="19">
        <f>B9+3*B8</f>
        <v>5.497787143782138</v>
      </c>
      <c r="C12" s="14"/>
      <c r="F12" s="20"/>
      <c r="G12" s="28" t="str">
        <f t="shared" si="1"/>
        <v>FX</v>
      </c>
      <c r="H12" s="7">
        <f t="shared" si="2"/>
        <v>9.6650916575623409</v>
      </c>
      <c r="I12" s="2"/>
      <c r="J12" s="8" t="s">
        <v>125</v>
      </c>
      <c r="K12" s="9">
        <f>E151</f>
        <v>0.89123447559494229</v>
      </c>
      <c r="L12" s="14"/>
    </row>
    <row r="13" spans="1:12" x14ac:dyDescent="0.25">
      <c r="A13" s="29" t="s">
        <v>10</v>
      </c>
      <c r="B13" s="29"/>
      <c r="F13" s="20"/>
      <c r="G13" s="28" t="str">
        <f t="shared" si="1"/>
        <v>FY</v>
      </c>
      <c r="H13" s="7">
        <f t="shared" si="2"/>
        <v>-1.7056044101580585</v>
      </c>
      <c r="I13" s="2"/>
      <c r="J13" s="8" t="s">
        <v>126</v>
      </c>
      <c r="K13" s="9">
        <f>E152</f>
        <v>-0.15727667216382224</v>
      </c>
      <c r="L13" s="14"/>
    </row>
    <row r="14" spans="1:12" x14ac:dyDescent="0.25">
      <c r="A14" s="10" t="s">
        <v>11</v>
      </c>
      <c r="F14" s="20"/>
      <c r="G14" s="28" t="str">
        <f t="shared" si="1"/>
        <v>MZ</v>
      </c>
      <c r="H14" s="7">
        <f t="shared" si="2"/>
        <v>-1.3478752711111115</v>
      </c>
      <c r="I14" s="2"/>
      <c r="J14" s="8" t="s">
        <v>127</v>
      </c>
      <c r="K14" s="9">
        <f>E153</f>
        <v>-407.70755701231411</v>
      </c>
      <c r="L14" s="14"/>
    </row>
    <row r="15" spans="1:12" x14ac:dyDescent="0.25">
      <c r="A15" s="10" t="s">
        <v>12</v>
      </c>
      <c r="F15" s="20"/>
      <c r="G15" s="15"/>
      <c r="K15" s="17"/>
      <c r="L15" s="14"/>
    </row>
    <row r="16" spans="1:12" x14ac:dyDescent="0.25">
      <c r="A16" s="10" t="s">
        <v>13</v>
      </c>
      <c r="F16" s="20"/>
      <c r="G16" s="30" t="s">
        <v>78</v>
      </c>
      <c r="H16" s="31"/>
      <c r="I16" s="31"/>
      <c r="K16" s="17"/>
      <c r="L16" s="14"/>
    </row>
    <row r="17" spans="1:12" ht="15.75" thickBot="1" x14ac:dyDescent="0.3">
      <c r="A17" s="11"/>
      <c r="B17" s="11"/>
      <c r="D17" s="11"/>
      <c r="E17" s="11"/>
      <c r="F17" s="20"/>
      <c r="G17" s="30" t="s">
        <v>129</v>
      </c>
      <c r="H17" s="31">
        <f>I82</f>
        <v>10844611.516077621</v>
      </c>
      <c r="I17" s="31">
        <f>H17/10^6</f>
        <v>10.84461151607762</v>
      </c>
      <c r="K17" s="17"/>
      <c r="L17" s="14"/>
    </row>
    <row r="18" spans="1:12" x14ac:dyDescent="0.25">
      <c r="A18" s="12" t="s">
        <v>14</v>
      </c>
      <c r="B18" s="13">
        <f>3*0.0254</f>
        <v>7.619999999999999E-2</v>
      </c>
      <c r="C18" s="32"/>
      <c r="D18" s="12" t="s">
        <v>56</v>
      </c>
      <c r="E18" s="26"/>
      <c r="F18" s="32"/>
      <c r="G18" s="30" t="s">
        <v>130</v>
      </c>
      <c r="H18" s="31">
        <f>J83</f>
        <v>10844611.516077617</v>
      </c>
      <c r="I18" s="31">
        <f t="shared" ref="I18:I19" si="3">H18/10^6</f>
        <v>10.844611516077617</v>
      </c>
      <c r="K18" s="17"/>
      <c r="L18" s="14"/>
    </row>
    <row r="19" spans="1:12" ht="15.75" thickBot="1" x14ac:dyDescent="0.3">
      <c r="A19" s="15" t="s">
        <v>15</v>
      </c>
      <c r="B19" s="16">
        <f>1.5*0.0254</f>
        <v>3.8099999999999995E-2</v>
      </c>
      <c r="C19" s="32"/>
      <c r="D19" s="15"/>
      <c r="E19" s="17"/>
      <c r="F19" s="32"/>
      <c r="G19" s="33" t="s">
        <v>131</v>
      </c>
      <c r="H19" s="34">
        <f>K84</f>
        <v>3305.9854984988701</v>
      </c>
      <c r="I19" s="34">
        <f t="shared" si="3"/>
        <v>3.3059854984988702E-3</v>
      </c>
      <c r="J19" s="35"/>
      <c r="K19" s="19"/>
      <c r="L19" s="14"/>
    </row>
    <row r="20" spans="1:12" x14ac:dyDescent="0.25">
      <c r="A20" s="15" t="s">
        <v>16</v>
      </c>
      <c r="B20" s="17">
        <f>B19/2</f>
        <v>1.9049999999999997E-2</v>
      </c>
      <c r="C20" s="32"/>
      <c r="D20" s="15"/>
      <c r="E20" s="17"/>
      <c r="F20" s="14"/>
      <c r="G20" s="29"/>
      <c r="H20" s="29"/>
      <c r="I20" s="29"/>
      <c r="J20" s="29"/>
      <c r="K20" s="29"/>
    </row>
    <row r="21" spans="1:12" x14ac:dyDescent="0.25">
      <c r="A21" s="15" t="s">
        <v>17</v>
      </c>
      <c r="B21" s="16">
        <f>0.08*0.0254</f>
        <v>2.032E-3</v>
      </c>
      <c r="C21" s="32"/>
      <c r="D21" s="15" t="s">
        <v>58</v>
      </c>
      <c r="E21" s="36">
        <f>2*PI()*(B18+B19)/4</f>
        <v>0.17954202015265666</v>
      </c>
      <c r="F21" s="14"/>
    </row>
    <row r="22" spans="1:12" x14ac:dyDescent="0.25">
      <c r="A22" s="15" t="s">
        <v>18</v>
      </c>
      <c r="B22" s="16">
        <f>0.25*0.0265</f>
        <v>6.6249999999999998E-3</v>
      </c>
      <c r="C22" s="32"/>
      <c r="D22" s="15" t="s">
        <v>57</v>
      </c>
      <c r="E22" s="36">
        <f>B22</f>
        <v>6.6249999999999998E-3</v>
      </c>
      <c r="F22" s="14"/>
    </row>
    <row r="23" spans="1:12" x14ac:dyDescent="0.25">
      <c r="A23" s="15" t="s">
        <v>19</v>
      </c>
      <c r="B23" s="16">
        <f>4*10^9</f>
        <v>4000000000</v>
      </c>
      <c r="C23" s="32"/>
      <c r="D23" s="15" t="s">
        <v>59</v>
      </c>
      <c r="E23" s="17">
        <f>E21*E22</f>
        <v>1.1894658835113502E-3</v>
      </c>
      <c r="F23" s="14"/>
    </row>
    <row r="24" spans="1:12" x14ac:dyDescent="0.25">
      <c r="A24" s="15" t="s">
        <v>20</v>
      </c>
      <c r="B24" s="17">
        <f>B21*B22</f>
        <v>1.3461999999999999E-5</v>
      </c>
      <c r="C24" s="32"/>
      <c r="D24" s="15" t="s">
        <v>60</v>
      </c>
      <c r="E24" s="17">
        <f>B23</f>
        <v>4000000000</v>
      </c>
      <c r="F24" s="14"/>
    </row>
    <row r="25" spans="1:12" x14ac:dyDescent="0.25">
      <c r="A25" s="15" t="s">
        <v>21</v>
      </c>
      <c r="B25" s="17">
        <f>(1/12)*B22*B21^3</f>
        <v>4.6320767573333321E-12</v>
      </c>
      <c r="C25" s="32"/>
      <c r="D25" s="15" t="s">
        <v>61</v>
      </c>
      <c r="E25" s="17">
        <f>(1/12)*E21^3 *E22</f>
        <v>3.1952361337985213E-6</v>
      </c>
      <c r="F25" s="14"/>
    </row>
    <row r="26" spans="1:12" ht="15.75" thickBot="1" x14ac:dyDescent="0.3">
      <c r="A26" s="15" t="s">
        <v>22</v>
      </c>
      <c r="B26" s="16">
        <f>(1/8)*0.0254</f>
        <v>3.1749999999999999E-3</v>
      </c>
      <c r="C26" s="32"/>
      <c r="D26" s="18" t="s">
        <v>63</v>
      </c>
      <c r="E26" s="19">
        <f>B18-B20</f>
        <v>5.7149999999999992E-2</v>
      </c>
      <c r="F26" s="14"/>
    </row>
    <row r="27" spans="1:12" ht="15.75" thickBot="1" x14ac:dyDescent="0.3">
      <c r="A27" s="15" t="s">
        <v>23</v>
      </c>
      <c r="B27" s="16">
        <f>B26-50*10^-6</f>
        <v>3.1249999999999997E-3</v>
      </c>
      <c r="C27" s="14"/>
      <c r="D27" s="24"/>
      <c r="E27" s="24"/>
    </row>
    <row r="28" spans="1:12" x14ac:dyDescent="0.25">
      <c r="A28" s="15" t="s">
        <v>24</v>
      </c>
      <c r="B28" s="17">
        <f>B26/2 + B22/2 -B27/2</f>
        <v>3.3375000000000002E-3</v>
      </c>
      <c r="C28" s="32"/>
      <c r="D28" s="12" t="s">
        <v>132</v>
      </c>
      <c r="E28" s="26"/>
      <c r="F28" s="14"/>
    </row>
    <row r="29" spans="1:12" x14ac:dyDescent="0.25">
      <c r="A29" s="15" t="s">
        <v>25</v>
      </c>
      <c r="B29" s="17">
        <f>0.05*B20</f>
        <v>9.524999999999999E-4</v>
      </c>
      <c r="C29" s="32"/>
      <c r="D29" s="15" t="s">
        <v>80</v>
      </c>
      <c r="E29" s="173">
        <f>50*10^-6</f>
        <v>4.9999999999999996E-5</v>
      </c>
      <c r="F29" s="14"/>
    </row>
    <row r="30" spans="1:12" ht="15.75" thickBot="1" x14ac:dyDescent="0.3">
      <c r="A30" s="18" t="s">
        <v>26</v>
      </c>
      <c r="B30" s="19">
        <f>B18-B20/2</f>
        <v>6.6674999999999984E-2</v>
      </c>
      <c r="C30" s="32"/>
      <c r="D30" s="15" t="s">
        <v>81</v>
      </c>
      <c r="E30" s="173">
        <f>25*10^-6</f>
        <v>2.4999999999999998E-5</v>
      </c>
      <c r="F30" s="14"/>
    </row>
    <row r="31" spans="1:12" x14ac:dyDescent="0.25">
      <c r="A31" s="29"/>
      <c r="B31" s="29"/>
      <c r="C31" s="20"/>
      <c r="D31" s="15" t="s">
        <v>82</v>
      </c>
      <c r="E31" s="173">
        <v>0</v>
      </c>
      <c r="F31" s="14"/>
    </row>
    <row r="32" spans="1:12" ht="15.75" thickBot="1" x14ac:dyDescent="0.3">
      <c r="C32" s="20"/>
      <c r="D32" s="18" t="s">
        <v>83</v>
      </c>
      <c r="E32" s="174">
        <v>0</v>
      </c>
      <c r="F32" s="14"/>
    </row>
    <row r="33" spans="1:14" x14ac:dyDescent="0.25">
      <c r="A33" s="11"/>
      <c r="B33" s="11"/>
      <c r="C33" s="11"/>
      <c r="D33" s="24"/>
      <c r="E33" s="24"/>
      <c r="F33" s="11"/>
      <c r="G33" s="11"/>
      <c r="H33" s="11"/>
      <c r="I33" s="11"/>
      <c r="J33" s="11"/>
      <c r="K33" s="11"/>
      <c r="L33" s="11"/>
    </row>
    <row r="34" spans="1:14" x14ac:dyDescent="0.25">
      <c r="A34" s="37"/>
      <c r="B34" s="37"/>
      <c r="C34" s="37"/>
      <c r="D34" s="37"/>
      <c r="E34" s="11"/>
      <c r="F34" s="11"/>
      <c r="G34" s="11"/>
      <c r="H34" s="11"/>
      <c r="I34" s="11"/>
      <c r="J34" s="11"/>
      <c r="K34" s="11"/>
      <c r="L34" s="11"/>
    </row>
    <row r="35" spans="1:14" ht="15.75" thickBo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4" x14ac:dyDescent="0.25">
      <c r="A36" s="38" t="s">
        <v>27</v>
      </c>
      <c r="B36" s="39"/>
      <c r="C36" s="40"/>
      <c r="D36" s="38" t="s">
        <v>28</v>
      </c>
      <c r="E36" s="39"/>
      <c r="F36" s="40"/>
      <c r="G36" s="41" t="s">
        <v>47</v>
      </c>
      <c r="H36" s="42"/>
      <c r="I36" s="43"/>
      <c r="J36" s="41" t="s">
        <v>48</v>
      </c>
      <c r="K36" s="42"/>
      <c r="L36" s="44"/>
      <c r="M36" s="14"/>
    </row>
    <row r="37" spans="1:14" x14ac:dyDescent="0.25">
      <c r="A37" s="45">
        <f>COS($B9)</f>
        <v>0.70710678118654757</v>
      </c>
      <c r="B37" s="46">
        <f>COS($B9+PI()/2)</f>
        <v>-0.70710678118654746</v>
      </c>
      <c r="C37" s="47">
        <v>0</v>
      </c>
      <c r="D37" s="45">
        <f>COS($B10)</f>
        <v>-0.70710678118654746</v>
      </c>
      <c r="E37" s="46">
        <f>COS($B10+PI()/2)</f>
        <v>-0.70710678118654768</v>
      </c>
      <c r="F37" s="47">
        <v>0</v>
      </c>
      <c r="G37" s="48">
        <f t="array" ref="G37:I39">TRANSPOSE(A37:C39)</f>
        <v>0.70710678118654757</v>
      </c>
      <c r="H37" s="49">
        <v>0.70710678118654746</v>
      </c>
      <c r="I37" s="50">
        <v>0</v>
      </c>
      <c r="J37" s="48">
        <f t="array" ref="J37:L39">TRANSPOSE(D37:F39)</f>
        <v>-0.70710678118654746</v>
      </c>
      <c r="K37" s="49">
        <v>0.70710678118654757</v>
      </c>
      <c r="L37" s="51">
        <v>0</v>
      </c>
      <c r="M37" s="14"/>
    </row>
    <row r="38" spans="1:14" x14ac:dyDescent="0.25">
      <c r="A38" s="45">
        <f>SIN($B9)</f>
        <v>0.70710678118654746</v>
      </c>
      <c r="B38" s="46">
        <f>SIN($B9+PI()/2)</f>
        <v>0.70710678118654757</v>
      </c>
      <c r="C38" s="47">
        <v>0</v>
      </c>
      <c r="D38" s="45">
        <f>SIN($B10)</f>
        <v>0.70710678118654757</v>
      </c>
      <c r="E38" s="46">
        <f>SIN($B10+PI()/2)</f>
        <v>-0.70710678118654746</v>
      </c>
      <c r="F38" s="47">
        <v>0</v>
      </c>
      <c r="G38" s="48">
        <v>-0.70710678118654746</v>
      </c>
      <c r="H38" s="49">
        <v>0.70710678118654757</v>
      </c>
      <c r="I38" s="50">
        <v>0</v>
      </c>
      <c r="J38" s="48">
        <v>-0.70710678118654768</v>
      </c>
      <c r="K38" s="49">
        <v>-0.70710678118654746</v>
      </c>
      <c r="L38" s="51">
        <v>0</v>
      </c>
      <c r="M38" s="14"/>
    </row>
    <row r="39" spans="1:14" ht="15.75" thickBot="1" x14ac:dyDescent="0.3">
      <c r="A39" s="52">
        <v>0</v>
      </c>
      <c r="B39" s="53">
        <v>0</v>
      </c>
      <c r="C39" s="54">
        <v>1</v>
      </c>
      <c r="D39" s="52">
        <v>0</v>
      </c>
      <c r="E39" s="53">
        <v>0</v>
      </c>
      <c r="F39" s="54">
        <v>1</v>
      </c>
      <c r="G39" s="55">
        <v>0</v>
      </c>
      <c r="H39" s="56">
        <v>0</v>
      </c>
      <c r="I39" s="57">
        <v>1</v>
      </c>
      <c r="J39" s="55">
        <v>0</v>
      </c>
      <c r="K39" s="56">
        <v>0</v>
      </c>
      <c r="L39" s="58">
        <v>1</v>
      </c>
      <c r="M39" s="14"/>
    </row>
    <row r="40" spans="1:14" ht="15.75" thickBot="1" x14ac:dyDescent="0.3">
      <c r="A40" s="59"/>
      <c r="B40" s="59"/>
      <c r="C40" s="59"/>
      <c r="D40" s="59"/>
      <c r="E40" s="59"/>
      <c r="F40" s="59"/>
      <c r="G40" s="60"/>
      <c r="H40" s="60"/>
      <c r="I40" s="60"/>
      <c r="J40" s="60"/>
      <c r="K40" s="60"/>
      <c r="L40" s="60"/>
    </row>
    <row r="41" spans="1:14" x14ac:dyDescent="0.25">
      <c r="A41" s="38" t="s">
        <v>29</v>
      </c>
      <c r="B41" s="39"/>
      <c r="C41" s="40"/>
      <c r="D41" s="38" t="s">
        <v>30</v>
      </c>
      <c r="E41" s="39"/>
      <c r="F41" s="40"/>
      <c r="G41" s="41" t="s">
        <v>49</v>
      </c>
      <c r="H41" s="42"/>
      <c r="I41" s="43"/>
      <c r="J41" s="41" t="s">
        <v>50</v>
      </c>
      <c r="K41" s="42"/>
      <c r="L41" s="44"/>
      <c r="M41" s="14"/>
    </row>
    <row r="42" spans="1:14" x14ac:dyDescent="0.25">
      <c r="A42" s="45">
        <f>COS($B11)</f>
        <v>-0.70710678118654768</v>
      </c>
      <c r="B42" s="46">
        <f>COS($B11+PI()/2)</f>
        <v>0.70710678118654735</v>
      </c>
      <c r="C42" s="47">
        <v>0</v>
      </c>
      <c r="D42" s="45">
        <f>COS($B12)</f>
        <v>0.70710678118654735</v>
      </c>
      <c r="E42" s="46">
        <f>COS($B12+PI()/2)</f>
        <v>0.70710678118654768</v>
      </c>
      <c r="F42" s="47">
        <v>0</v>
      </c>
      <c r="G42" s="48">
        <f t="array" ref="G42:I44">TRANSPOSE(A42:C44)</f>
        <v>-0.70710678118654768</v>
      </c>
      <c r="H42" s="49">
        <v>-0.70710678118654746</v>
      </c>
      <c r="I42" s="50">
        <v>0</v>
      </c>
      <c r="J42" s="48">
        <f t="array" ref="J42:L44">TRANSPOSE(D42:F44)</f>
        <v>0.70710678118654735</v>
      </c>
      <c r="K42" s="49">
        <v>-0.70710678118654768</v>
      </c>
      <c r="L42" s="51">
        <v>0</v>
      </c>
      <c r="M42" s="14"/>
    </row>
    <row r="43" spans="1:14" x14ac:dyDescent="0.25">
      <c r="A43" s="45">
        <f>SIN($B11)</f>
        <v>-0.70710678118654746</v>
      </c>
      <c r="B43" s="46">
        <f>SIN($B11+PI()/2)</f>
        <v>-0.70710678118654768</v>
      </c>
      <c r="C43" s="47">
        <v>0</v>
      </c>
      <c r="D43" s="45">
        <f>SIN($B12)</f>
        <v>-0.70710678118654768</v>
      </c>
      <c r="E43" s="46">
        <f>SIN($B12+PI()/2)</f>
        <v>0.70710678118654735</v>
      </c>
      <c r="F43" s="47">
        <v>0</v>
      </c>
      <c r="G43" s="48">
        <v>0.70710678118654735</v>
      </c>
      <c r="H43" s="49">
        <v>-0.70710678118654768</v>
      </c>
      <c r="I43" s="50">
        <v>0</v>
      </c>
      <c r="J43" s="48">
        <v>0.70710678118654768</v>
      </c>
      <c r="K43" s="49">
        <v>0.70710678118654735</v>
      </c>
      <c r="L43" s="51">
        <v>0</v>
      </c>
      <c r="M43" s="14"/>
    </row>
    <row r="44" spans="1:14" ht="15.75" thickBot="1" x14ac:dyDescent="0.3">
      <c r="A44" s="52">
        <v>0</v>
      </c>
      <c r="B44" s="53">
        <v>0</v>
      </c>
      <c r="C44" s="54">
        <v>1</v>
      </c>
      <c r="D44" s="52">
        <v>0</v>
      </c>
      <c r="E44" s="53">
        <v>0</v>
      </c>
      <c r="F44" s="54">
        <v>1</v>
      </c>
      <c r="G44" s="55">
        <v>0</v>
      </c>
      <c r="H44" s="56">
        <v>0</v>
      </c>
      <c r="I44" s="57">
        <v>1</v>
      </c>
      <c r="J44" s="55">
        <v>0</v>
      </c>
      <c r="K44" s="56">
        <v>0</v>
      </c>
      <c r="L44" s="58">
        <v>1</v>
      </c>
      <c r="M44" s="61"/>
    </row>
    <row r="45" spans="1:14" ht="15.75" thickBot="1" x14ac:dyDescent="0.3">
      <c r="A45" s="24"/>
      <c r="B45" s="24"/>
      <c r="C45" s="24"/>
      <c r="D45" s="29"/>
      <c r="E45" s="29"/>
      <c r="F45" s="29"/>
      <c r="G45" s="29"/>
      <c r="H45" s="24"/>
      <c r="I45" s="24"/>
      <c r="J45" s="24"/>
      <c r="K45" s="24"/>
      <c r="L45" s="24"/>
      <c r="M45" s="11"/>
    </row>
    <row r="46" spans="1:14" x14ac:dyDescent="0.25">
      <c r="A46" s="62" t="s">
        <v>31</v>
      </c>
      <c r="B46" s="63"/>
      <c r="C46" s="64"/>
      <c r="D46" s="62" t="s">
        <v>32</v>
      </c>
      <c r="E46" s="63"/>
      <c r="F46" s="64"/>
      <c r="G46" s="20"/>
      <c r="H46" s="65" t="s">
        <v>39</v>
      </c>
      <c r="I46" s="66"/>
      <c r="J46" s="67"/>
      <c r="K46" s="65" t="s">
        <v>40</v>
      </c>
      <c r="L46" s="66"/>
      <c r="M46" s="67"/>
      <c r="N46" s="14"/>
    </row>
    <row r="47" spans="1:14" x14ac:dyDescent="0.25">
      <c r="A47" s="68">
        <v>1</v>
      </c>
      <c r="B47" s="69">
        <v>0</v>
      </c>
      <c r="C47" s="70">
        <f>-1*$B$28</f>
        <v>-3.3375000000000002E-3</v>
      </c>
      <c r="D47" s="68">
        <v>1</v>
      </c>
      <c r="E47" s="69">
        <v>0</v>
      </c>
      <c r="F47" s="70">
        <f>-1*$B$28</f>
        <v>-3.3375000000000002E-3</v>
      </c>
      <c r="G47" s="20"/>
      <c r="H47" s="71">
        <f t="array" ref="H47:J49">TRANSPOSE(A47:C49)</f>
        <v>1</v>
      </c>
      <c r="I47" s="72">
        <v>0</v>
      </c>
      <c r="J47" s="73">
        <v>0</v>
      </c>
      <c r="K47" s="71">
        <f t="array" ref="K47:M49">TRANSPOSE(D47:F49)</f>
        <v>1</v>
      </c>
      <c r="L47" s="72">
        <v>0</v>
      </c>
      <c r="M47" s="73">
        <v>0</v>
      </c>
      <c r="N47" s="14"/>
    </row>
    <row r="48" spans="1:14" x14ac:dyDescent="0.25">
      <c r="A48" s="68">
        <v>0</v>
      </c>
      <c r="B48" s="69">
        <v>1</v>
      </c>
      <c r="C48" s="70">
        <f>$B$29</f>
        <v>9.524999999999999E-4</v>
      </c>
      <c r="D48" s="68">
        <v>0</v>
      </c>
      <c r="E48" s="69">
        <v>1</v>
      </c>
      <c r="F48" s="70">
        <f>-1*$B$29</f>
        <v>-9.524999999999999E-4</v>
      </c>
      <c r="G48" s="20"/>
      <c r="H48" s="71">
        <v>0</v>
      </c>
      <c r="I48" s="72">
        <v>1</v>
      </c>
      <c r="J48" s="73">
        <v>0</v>
      </c>
      <c r="K48" s="71">
        <v>0</v>
      </c>
      <c r="L48" s="72">
        <v>1</v>
      </c>
      <c r="M48" s="73">
        <v>0</v>
      </c>
      <c r="N48" s="14"/>
    </row>
    <row r="49" spans="1:14" ht="15.75" thickBot="1" x14ac:dyDescent="0.3">
      <c r="A49" s="74">
        <v>0</v>
      </c>
      <c r="B49" s="75">
        <v>0</v>
      </c>
      <c r="C49" s="76">
        <f>1</f>
        <v>1</v>
      </c>
      <c r="D49" s="74">
        <v>0</v>
      </c>
      <c r="E49" s="75">
        <v>0</v>
      </c>
      <c r="F49" s="76">
        <f>1</f>
        <v>1</v>
      </c>
      <c r="G49" s="20"/>
      <c r="H49" s="77">
        <v>-3.3375000000000002E-3</v>
      </c>
      <c r="I49" s="78">
        <v>9.524999999999999E-4</v>
      </c>
      <c r="J49" s="79">
        <v>1</v>
      </c>
      <c r="K49" s="77">
        <v>-3.3375000000000002E-3</v>
      </c>
      <c r="L49" s="78">
        <v>-9.524999999999999E-4</v>
      </c>
      <c r="M49" s="79">
        <v>1</v>
      </c>
      <c r="N49" s="14"/>
    </row>
    <row r="50" spans="1:14" x14ac:dyDescent="0.25">
      <c r="A50" s="62" t="s">
        <v>33</v>
      </c>
      <c r="B50" s="63"/>
      <c r="C50" s="64"/>
      <c r="D50" s="62" t="s">
        <v>34</v>
      </c>
      <c r="E50" s="63"/>
      <c r="F50" s="64"/>
      <c r="G50" s="20"/>
      <c r="H50" s="65" t="s">
        <v>53</v>
      </c>
      <c r="I50" s="66"/>
      <c r="J50" s="67"/>
      <c r="K50" s="65" t="s">
        <v>41</v>
      </c>
      <c r="L50" s="66"/>
      <c r="M50" s="67"/>
      <c r="N50" s="14"/>
    </row>
    <row r="51" spans="1:14" x14ac:dyDescent="0.25">
      <c r="A51" s="68">
        <v>1</v>
      </c>
      <c r="B51" s="69">
        <v>0</v>
      </c>
      <c r="C51" s="70">
        <f>1*$B$28</f>
        <v>3.3375000000000002E-3</v>
      </c>
      <c r="D51" s="68">
        <v>1</v>
      </c>
      <c r="E51" s="69">
        <v>0</v>
      </c>
      <c r="F51" s="70">
        <f>1*$B$28</f>
        <v>3.3375000000000002E-3</v>
      </c>
      <c r="G51" s="20"/>
      <c r="H51" s="71">
        <f t="array" ref="H51:J53">TRANSPOSE(A51:C53)</f>
        <v>1</v>
      </c>
      <c r="I51" s="72">
        <v>0</v>
      </c>
      <c r="J51" s="73">
        <v>0</v>
      </c>
      <c r="K51" s="71">
        <f t="array" ref="K51:M53">TRANSPOSE(D51:F53)</f>
        <v>1</v>
      </c>
      <c r="L51" s="72">
        <v>0</v>
      </c>
      <c r="M51" s="73">
        <v>0</v>
      </c>
      <c r="N51" s="14"/>
    </row>
    <row r="52" spans="1:14" x14ac:dyDescent="0.25">
      <c r="A52" s="68">
        <v>0</v>
      </c>
      <c r="B52" s="69">
        <v>1</v>
      </c>
      <c r="C52" s="70">
        <f>$B$29</f>
        <v>9.524999999999999E-4</v>
      </c>
      <c r="D52" s="68">
        <v>0</v>
      </c>
      <c r="E52" s="69">
        <v>1</v>
      </c>
      <c r="F52" s="70">
        <f>-1*$B$29</f>
        <v>-9.524999999999999E-4</v>
      </c>
      <c r="G52" s="20"/>
      <c r="H52" s="71">
        <v>0</v>
      </c>
      <c r="I52" s="72">
        <v>1</v>
      </c>
      <c r="J52" s="73">
        <v>0</v>
      </c>
      <c r="K52" s="71">
        <v>0</v>
      </c>
      <c r="L52" s="72">
        <v>1</v>
      </c>
      <c r="M52" s="73">
        <v>0</v>
      </c>
      <c r="N52" s="14"/>
    </row>
    <row r="53" spans="1:14" ht="15.75" thickBot="1" x14ac:dyDescent="0.3">
      <c r="A53" s="74">
        <v>0</v>
      </c>
      <c r="B53" s="75">
        <v>0</v>
      </c>
      <c r="C53" s="76">
        <f>1</f>
        <v>1</v>
      </c>
      <c r="D53" s="74">
        <v>0</v>
      </c>
      <c r="E53" s="75">
        <v>0</v>
      </c>
      <c r="F53" s="76">
        <f>1</f>
        <v>1</v>
      </c>
      <c r="G53" s="20"/>
      <c r="H53" s="77">
        <v>3.3375000000000002E-3</v>
      </c>
      <c r="I53" s="78">
        <v>9.524999999999999E-4</v>
      </c>
      <c r="J53" s="79">
        <v>1</v>
      </c>
      <c r="K53" s="77">
        <v>3.3375000000000002E-3</v>
      </c>
      <c r="L53" s="78">
        <v>-9.524999999999999E-4</v>
      </c>
      <c r="M53" s="79">
        <v>1</v>
      </c>
      <c r="N53" s="14"/>
    </row>
    <row r="54" spans="1:14" ht="15.75" thickBot="1" x14ac:dyDescent="0.3">
      <c r="A54" s="11"/>
      <c r="B54" s="11"/>
      <c r="C54" s="11"/>
      <c r="D54" s="11"/>
      <c r="E54" s="11"/>
      <c r="F54" s="11"/>
      <c r="H54" s="24"/>
      <c r="I54" s="24"/>
      <c r="J54" s="24"/>
      <c r="K54" s="29"/>
      <c r="L54" s="29"/>
      <c r="M54" s="29"/>
    </row>
    <row r="55" spans="1:14" x14ac:dyDescent="0.25">
      <c r="A55" s="80" t="s">
        <v>35</v>
      </c>
      <c r="B55" s="81"/>
      <c r="C55" s="82"/>
      <c r="D55" s="80" t="s">
        <v>38</v>
      </c>
      <c r="E55" s="81"/>
      <c r="F55" s="82"/>
      <c r="G55" s="32"/>
      <c r="H55" s="83" t="s">
        <v>62</v>
      </c>
      <c r="I55" s="84"/>
      <c r="J55" s="85"/>
      <c r="K55" s="83" t="s">
        <v>64</v>
      </c>
      <c r="L55" s="84"/>
      <c r="M55" s="85"/>
    </row>
    <row r="56" spans="1:14" x14ac:dyDescent="0.25">
      <c r="A56" s="86">
        <f>$B$23*$B$24/(2*$B$20)</f>
        <v>1413333.3333333335</v>
      </c>
      <c r="B56" s="87">
        <v>0</v>
      </c>
      <c r="C56" s="88">
        <v>0</v>
      </c>
      <c r="D56" s="86">
        <f>$B$23*$B$24/(2*$B$20)</f>
        <v>1413333.3333333335</v>
      </c>
      <c r="E56" s="87">
        <v>0</v>
      </c>
      <c r="F56" s="88">
        <v>0</v>
      </c>
      <c r="G56" s="32"/>
      <c r="H56" s="89">
        <f>$E$24*$E$23/$E$26</f>
        <v>83252205.320129514</v>
      </c>
      <c r="I56" s="90">
        <v>0</v>
      </c>
      <c r="J56" s="36">
        <v>0</v>
      </c>
      <c r="K56" s="89">
        <f>$E$24*$E$23/$E$26</f>
        <v>83252205.320129514</v>
      </c>
      <c r="L56" s="90">
        <v>0</v>
      </c>
      <c r="M56" s="36">
        <v>0</v>
      </c>
    </row>
    <row r="57" spans="1:14" x14ac:dyDescent="0.25">
      <c r="A57" s="86">
        <v>0</v>
      </c>
      <c r="B57" s="87">
        <f>12*$B$23*$B$25/$B$20^3</f>
        <v>32161.185185185186</v>
      </c>
      <c r="C57" s="88">
        <f>B58</f>
        <v>-306.3352888888889</v>
      </c>
      <c r="D57" s="86">
        <v>0</v>
      </c>
      <c r="E57" s="87">
        <f>12*$B$23*$B$25/$B$20^3</f>
        <v>32161.185185185186</v>
      </c>
      <c r="F57" s="88">
        <f>E58</f>
        <v>306.3352888888889</v>
      </c>
      <c r="G57" s="32"/>
      <c r="H57" s="89">
        <v>0</v>
      </c>
      <c r="I57" s="90">
        <f>12*$E$24*$E$25/$E$26^3</f>
        <v>821666332.0279454</v>
      </c>
      <c r="J57" s="36">
        <f>-6*$E$24*$E$25/$E$26^2</f>
        <v>-23479115.437698536</v>
      </c>
      <c r="K57" s="89">
        <v>0</v>
      </c>
      <c r="L57" s="90">
        <f>12*$E$24*$E$25/$E$26^3</f>
        <v>821666332.0279454</v>
      </c>
      <c r="M57" s="36">
        <f>-6*$E$24*$E$25/$E$26^2</f>
        <v>-23479115.437698536</v>
      </c>
    </row>
    <row r="58" spans="1:14" ht="15.75" thickBot="1" x14ac:dyDescent="0.3">
      <c r="A58" s="91">
        <v>0</v>
      </c>
      <c r="B58" s="92">
        <f>-6*$B$23*$B$25/$B$20^2</f>
        <v>-306.3352888888889</v>
      </c>
      <c r="C58" s="93">
        <f>4*$B$23*$B$25/$B$20</f>
        <v>3.8904581688888884</v>
      </c>
      <c r="D58" s="91">
        <v>0</v>
      </c>
      <c r="E58" s="92">
        <f>6*$B$23*$B$25/$B$20^2</f>
        <v>306.3352888888889</v>
      </c>
      <c r="F58" s="93">
        <f>4*$B$23*$B$25/$B$20</f>
        <v>3.8904581688888884</v>
      </c>
      <c r="G58" s="32"/>
      <c r="H58" s="94">
        <v>0</v>
      </c>
      <c r="I58" s="95">
        <f>J57</f>
        <v>-23479115.437698536</v>
      </c>
      <c r="J58" s="96">
        <f>4*$E$24*$E$25/$E$26</f>
        <v>894554.29817631398</v>
      </c>
      <c r="K58" s="94">
        <v>0</v>
      </c>
      <c r="L58" s="95">
        <f>M57</f>
        <v>-23479115.437698536</v>
      </c>
      <c r="M58" s="96">
        <f>4*$E$24*$E$25/$E$26</f>
        <v>894554.29817631398</v>
      </c>
    </row>
    <row r="59" spans="1:14" ht="15.75" thickBot="1" x14ac:dyDescent="0.3">
      <c r="A59" s="97"/>
      <c r="B59" s="97"/>
      <c r="C59" s="97"/>
      <c r="D59" s="97"/>
      <c r="E59" s="97"/>
      <c r="F59" s="97"/>
      <c r="H59" s="83" t="s">
        <v>65</v>
      </c>
      <c r="I59" s="84"/>
      <c r="J59" s="85"/>
      <c r="K59" s="83" t="s">
        <v>66</v>
      </c>
      <c r="L59" s="84"/>
      <c r="M59" s="85"/>
    </row>
    <row r="60" spans="1:14" x14ac:dyDescent="0.25">
      <c r="A60" s="80" t="s">
        <v>36</v>
      </c>
      <c r="B60" s="81"/>
      <c r="C60" s="82"/>
      <c r="D60" s="80" t="s">
        <v>37</v>
      </c>
      <c r="E60" s="81"/>
      <c r="F60" s="82"/>
      <c r="G60" s="14"/>
      <c r="H60" s="89">
        <f>$E$24*$E$23/$E$26</f>
        <v>83252205.320129514</v>
      </c>
      <c r="I60" s="90">
        <v>0</v>
      </c>
      <c r="J60" s="36">
        <v>0</v>
      </c>
      <c r="K60" s="89">
        <f>$E$24*$E$23/$E$26</f>
        <v>83252205.320129514</v>
      </c>
      <c r="L60" s="90">
        <v>0</v>
      </c>
      <c r="M60" s="36">
        <v>0</v>
      </c>
    </row>
    <row r="61" spans="1:14" x14ac:dyDescent="0.25">
      <c r="A61" s="86">
        <f>$B$23*$B$24/(2*$B$20)</f>
        <v>1413333.3333333335</v>
      </c>
      <c r="B61" s="87">
        <v>0</v>
      </c>
      <c r="C61" s="88">
        <v>0</v>
      </c>
      <c r="D61" s="86">
        <f>$B$23*$B$24/(2*$B$20)</f>
        <v>1413333.3333333335</v>
      </c>
      <c r="E61" s="87">
        <v>0</v>
      </c>
      <c r="F61" s="88">
        <v>0</v>
      </c>
      <c r="G61" s="14"/>
      <c r="H61" s="89">
        <v>0</v>
      </c>
      <c r="I61" s="90">
        <f>12*$E$24*$E$25/$E$26^3</f>
        <v>821666332.0279454</v>
      </c>
      <c r="J61" s="36">
        <f>-6*$E$24*$E$25/$E$26^2</f>
        <v>-23479115.437698536</v>
      </c>
      <c r="K61" s="89">
        <v>0</v>
      </c>
      <c r="L61" s="90">
        <f>12*$E$24*$E$25/$E$26^3</f>
        <v>821666332.0279454</v>
      </c>
      <c r="M61" s="36">
        <f>-6*$E$24*$E$25/$E$26^2</f>
        <v>-23479115.437698536</v>
      </c>
    </row>
    <row r="62" spans="1:14" ht="15.75" thickBot="1" x14ac:dyDescent="0.3">
      <c r="A62" s="86">
        <v>0</v>
      </c>
      <c r="B62" s="87">
        <f>12*$B$23*$B$25/$B$20^3</f>
        <v>32161.185185185186</v>
      </c>
      <c r="C62" s="88">
        <f>B63</f>
        <v>-306.3352888888889</v>
      </c>
      <c r="D62" s="86">
        <v>0</v>
      </c>
      <c r="E62" s="87">
        <f>12*$B$23*$B$25/$B$20^3</f>
        <v>32161.185185185186</v>
      </c>
      <c r="F62" s="88">
        <f>E63</f>
        <v>306.3352888888889</v>
      </c>
      <c r="G62" s="14"/>
      <c r="H62" s="94">
        <v>0</v>
      </c>
      <c r="I62" s="95">
        <f>J61</f>
        <v>-23479115.437698536</v>
      </c>
      <c r="J62" s="96">
        <f>4*$E$24*$E$25/$E$26</f>
        <v>894554.29817631398</v>
      </c>
      <c r="K62" s="94">
        <v>0</v>
      </c>
      <c r="L62" s="95">
        <f>M61</f>
        <v>-23479115.437698536</v>
      </c>
      <c r="M62" s="96">
        <f>4*$E$24*$E$25/$E$26</f>
        <v>894554.29817631398</v>
      </c>
    </row>
    <row r="63" spans="1:14" ht="15.75" thickBot="1" x14ac:dyDescent="0.3">
      <c r="A63" s="91">
        <v>0</v>
      </c>
      <c r="B63" s="92">
        <f>-6*$B$23*$B$25/$B$20^2</f>
        <v>-306.3352888888889</v>
      </c>
      <c r="C63" s="93">
        <f>4*$B$23*$B$25/$B$20</f>
        <v>3.8904581688888884</v>
      </c>
      <c r="D63" s="91">
        <v>0</v>
      </c>
      <c r="E63" s="92">
        <f>6*$B$23*$B$25/$B$20^2</f>
        <v>306.3352888888889</v>
      </c>
      <c r="F63" s="93">
        <f>4*$B$23*$B$25/$B$20</f>
        <v>3.8904581688888884</v>
      </c>
      <c r="G63" s="14"/>
    </row>
    <row r="64" spans="1:14" ht="15.75" thickBot="1" x14ac:dyDescent="0.3">
      <c r="A64" s="24"/>
      <c r="B64" s="24"/>
      <c r="C64" s="29"/>
      <c r="D64" s="24"/>
      <c r="E64" s="24"/>
      <c r="F64" s="24"/>
      <c r="H64" s="11"/>
      <c r="I64" s="11"/>
      <c r="J64" s="11"/>
    </row>
    <row r="65" spans="1:14" x14ac:dyDescent="0.25">
      <c r="C65" s="32"/>
      <c r="D65" s="98" t="s">
        <v>46</v>
      </c>
      <c r="E65" s="99"/>
      <c r="F65" s="100"/>
      <c r="G65" s="101"/>
      <c r="H65" s="98" t="s">
        <v>52</v>
      </c>
      <c r="I65" s="99"/>
      <c r="J65" s="100"/>
      <c r="K65" s="14"/>
    </row>
    <row r="66" spans="1:14" x14ac:dyDescent="0.25">
      <c r="C66" s="32"/>
      <c r="D66" s="102">
        <v>1</v>
      </c>
      <c r="E66" s="103">
        <v>0</v>
      </c>
      <c r="F66" s="104">
        <v>0</v>
      </c>
      <c r="G66" s="101"/>
      <c r="H66" s="102">
        <f t="array" ref="H66:J68">TRANSPOSE(D66:F68)</f>
        <v>1</v>
      </c>
      <c r="I66" s="103">
        <v>0</v>
      </c>
      <c r="J66" s="104">
        <v>0</v>
      </c>
      <c r="K66" s="14"/>
    </row>
    <row r="67" spans="1:14" x14ac:dyDescent="0.25">
      <c r="C67" s="32"/>
      <c r="D67" s="102">
        <v>0</v>
      </c>
      <c r="E67" s="103">
        <v>1</v>
      </c>
      <c r="F67" s="104">
        <f>B18</f>
        <v>7.619999999999999E-2</v>
      </c>
      <c r="G67" s="101"/>
      <c r="H67" s="102">
        <v>0</v>
      </c>
      <c r="I67" s="103">
        <v>1</v>
      </c>
      <c r="J67" s="104">
        <v>0</v>
      </c>
      <c r="K67" s="14"/>
    </row>
    <row r="68" spans="1:14" ht="15.75" thickBot="1" x14ac:dyDescent="0.3">
      <c r="A68" s="11" t="s">
        <v>71</v>
      </c>
      <c r="B68" s="11"/>
      <c r="C68" s="105"/>
      <c r="D68" s="106">
        <v>0</v>
      </c>
      <c r="E68" s="107">
        <v>0</v>
      </c>
      <c r="F68" s="108">
        <v>1</v>
      </c>
      <c r="G68" s="101"/>
      <c r="H68" s="106">
        <v>0</v>
      </c>
      <c r="I68" s="107">
        <v>7.619999999999999E-2</v>
      </c>
      <c r="J68" s="108">
        <v>1</v>
      </c>
      <c r="K68" s="61"/>
      <c r="L68" s="11"/>
      <c r="M68" s="11"/>
    </row>
    <row r="69" spans="1:14" x14ac:dyDescent="0.25">
      <c r="A69" s="65" t="s">
        <v>42</v>
      </c>
      <c r="B69" s="66"/>
      <c r="C69" s="109"/>
      <c r="D69" s="65" t="s">
        <v>43</v>
      </c>
      <c r="E69" s="66"/>
      <c r="F69" s="109"/>
      <c r="G69" s="32"/>
      <c r="H69" s="110" t="s">
        <v>67</v>
      </c>
      <c r="I69" s="111"/>
      <c r="J69" s="112"/>
      <c r="K69" s="110" t="s">
        <v>68</v>
      </c>
      <c r="L69" s="111"/>
      <c r="M69" s="112"/>
      <c r="N69" s="14"/>
    </row>
    <row r="70" spans="1:14" x14ac:dyDescent="0.25">
      <c r="A70" s="71">
        <f t="array" ref="A70:C72">MMULT(MMULT(MINVERSE(H47:J49),A56:C58),MINVERSE(A47:C49))</f>
        <v>1413333.3333333335</v>
      </c>
      <c r="B70" s="72">
        <v>0</v>
      </c>
      <c r="C70" s="73">
        <v>4717.0000000000009</v>
      </c>
      <c r="D70" s="71">
        <f t="array" ref="D70:F72">MMULT(MMULT(MINVERSE(K47:M49),D56:F58),MINVERSE(D47:F49))</f>
        <v>1413333.3333333335</v>
      </c>
      <c r="E70" s="72">
        <v>0</v>
      </c>
      <c r="F70" s="73">
        <v>4717.0000000000009</v>
      </c>
      <c r="G70" s="32"/>
      <c r="H70" s="113">
        <f t="array" ref="H70:J72">MMULT(MMULT(A37:C39,H56:J58),G37:I39)</f>
        <v>452459268.6740374</v>
      </c>
      <c r="I70" s="114">
        <v>-369207063.35390794</v>
      </c>
      <c r="J70" s="115">
        <v>16602241.742258387</v>
      </c>
      <c r="K70" s="113">
        <f t="array" ref="K70:M72">MMULT(MMULT(D37:F39,K56:M58),J37:L39)</f>
        <v>452459268.67403764</v>
      </c>
      <c r="L70" s="114">
        <v>369207063.353908</v>
      </c>
      <c r="M70" s="115">
        <v>16602241.742258392</v>
      </c>
      <c r="N70" s="14"/>
    </row>
    <row r="71" spans="1:14" x14ac:dyDescent="0.25">
      <c r="A71" s="71">
        <v>0</v>
      </c>
      <c r="B71" s="72">
        <v>32161.185185185186</v>
      </c>
      <c r="C71" s="73">
        <v>-336.96881777777776</v>
      </c>
      <c r="D71" s="71">
        <v>0</v>
      </c>
      <c r="E71" s="72">
        <v>32161.185185185186</v>
      </c>
      <c r="F71" s="73">
        <v>336.96881777777776</v>
      </c>
      <c r="G71" s="32"/>
      <c r="H71" s="113">
        <v>-369207063.35390788</v>
      </c>
      <c r="I71" s="114">
        <v>452459268.67403746</v>
      </c>
      <c r="J71" s="115">
        <v>-16602241.74225839</v>
      </c>
      <c r="K71" s="113">
        <v>369207063.353908</v>
      </c>
      <c r="L71" s="114">
        <v>452459268.6740374</v>
      </c>
      <c r="M71" s="115">
        <v>16602241.742258387</v>
      </c>
      <c r="N71" s="14"/>
    </row>
    <row r="72" spans="1:14" ht="15.75" thickBot="1" x14ac:dyDescent="0.3">
      <c r="A72" s="77">
        <v>4717.0000000000009</v>
      </c>
      <c r="B72" s="78">
        <v>-336.96881777777776</v>
      </c>
      <c r="C72" s="79">
        <v>20.246192830488891</v>
      </c>
      <c r="D72" s="77">
        <v>4717.0000000000009</v>
      </c>
      <c r="E72" s="78">
        <v>336.96881777777776</v>
      </c>
      <c r="F72" s="79">
        <v>20.246192830488891</v>
      </c>
      <c r="G72" s="32"/>
      <c r="H72" s="116">
        <v>16602241.742258387</v>
      </c>
      <c r="I72" s="117">
        <v>-16602241.74225839</v>
      </c>
      <c r="J72" s="118">
        <v>894554.29817631398</v>
      </c>
      <c r="K72" s="116">
        <v>16602241.742258392</v>
      </c>
      <c r="L72" s="117">
        <v>16602241.742258387</v>
      </c>
      <c r="M72" s="118">
        <v>894554.29817631398</v>
      </c>
      <c r="N72" s="14"/>
    </row>
    <row r="73" spans="1:14" ht="15.75" thickBot="1" x14ac:dyDescent="0.3">
      <c r="A73" s="119"/>
      <c r="B73" s="119"/>
      <c r="C73" s="119"/>
      <c r="D73" s="119"/>
      <c r="E73" s="119"/>
      <c r="F73" s="119"/>
      <c r="H73" s="120"/>
      <c r="I73" s="120"/>
      <c r="J73" s="120"/>
      <c r="K73" s="120"/>
      <c r="L73" s="120"/>
      <c r="M73" s="120"/>
    </row>
    <row r="74" spans="1:14" x14ac:dyDescent="0.25">
      <c r="A74" s="65" t="s">
        <v>44</v>
      </c>
      <c r="B74" s="66"/>
      <c r="C74" s="109"/>
      <c r="D74" s="65" t="s">
        <v>45</v>
      </c>
      <c r="E74" s="66"/>
      <c r="F74" s="109"/>
      <c r="G74" s="32"/>
      <c r="H74" s="110" t="s">
        <v>69</v>
      </c>
      <c r="I74" s="111"/>
      <c r="J74" s="112"/>
      <c r="K74" s="110" t="s">
        <v>70</v>
      </c>
      <c r="L74" s="111"/>
      <c r="M74" s="112"/>
      <c r="N74" s="14"/>
    </row>
    <row r="75" spans="1:14" x14ac:dyDescent="0.25">
      <c r="A75" s="71">
        <f t="array" ref="A75:C77">MMULT(MMULT(MINVERSE(H51:J53),A61:C63),MINVERSE(A51:C53))</f>
        <v>1413333.3333333335</v>
      </c>
      <c r="B75" s="72">
        <v>0</v>
      </c>
      <c r="C75" s="73">
        <v>-4717.0000000000009</v>
      </c>
      <c r="D75" s="71">
        <f t="array" ref="D75:F77">MMULT(MMULT(MINVERSE(K51:M53),D61:F63),MINVERSE(D51:F53))</f>
        <v>1413333.3333333335</v>
      </c>
      <c r="E75" s="72">
        <v>0</v>
      </c>
      <c r="F75" s="73">
        <v>-4717.0000000000009</v>
      </c>
      <c r="G75" s="32"/>
      <c r="H75" s="113">
        <f t="array" ref="H75:J77">MMULT(MMULT(A42:C44,H60:J62),G42:I44)</f>
        <v>452459268.67403728</v>
      </c>
      <c r="I75" s="114">
        <v>-369207063.35390794</v>
      </c>
      <c r="J75" s="115">
        <v>-16602241.742258385</v>
      </c>
      <c r="K75" s="113">
        <f t="array" ref="K75:M77">MMULT(MMULT(D42:F44,K60:M62),J42:L44)</f>
        <v>452459268.67403764</v>
      </c>
      <c r="L75" s="114">
        <v>369207063.35390794</v>
      </c>
      <c r="M75" s="115">
        <v>-16602241.742258392</v>
      </c>
      <c r="N75" s="14"/>
    </row>
    <row r="76" spans="1:14" x14ac:dyDescent="0.25">
      <c r="A76" s="71">
        <v>0</v>
      </c>
      <c r="B76" s="72">
        <v>32161.185185185186</v>
      </c>
      <c r="C76" s="73">
        <v>-336.96881777777776</v>
      </c>
      <c r="D76" s="71">
        <v>0</v>
      </c>
      <c r="E76" s="72">
        <v>32161.185185185186</v>
      </c>
      <c r="F76" s="73">
        <v>336.96881777777776</v>
      </c>
      <c r="G76" s="32"/>
      <c r="H76" s="113">
        <v>-369207063.35390794</v>
      </c>
      <c r="I76" s="114">
        <v>452459268.67403764</v>
      </c>
      <c r="J76" s="115">
        <v>16602241.742258392</v>
      </c>
      <c r="K76" s="113">
        <v>369207063.35390794</v>
      </c>
      <c r="L76" s="114">
        <v>452459268.67403728</v>
      </c>
      <c r="M76" s="115">
        <v>-16602241.742258385</v>
      </c>
      <c r="N76" s="14"/>
    </row>
    <row r="77" spans="1:14" ht="15.75" thickBot="1" x14ac:dyDescent="0.3">
      <c r="A77" s="77">
        <v>-4717.0000000000009</v>
      </c>
      <c r="B77" s="121">
        <v>-336.96881777777776</v>
      </c>
      <c r="C77" s="122">
        <v>20.246192830488891</v>
      </c>
      <c r="D77" s="123">
        <v>-4717.0000000000009</v>
      </c>
      <c r="E77" s="78">
        <v>336.96881777777776</v>
      </c>
      <c r="F77" s="79">
        <v>20.246192830488891</v>
      </c>
      <c r="G77" s="32"/>
      <c r="H77" s="116">
        <v>-16602241.742258385</v>
      </c>
      <c r="I77" s="117">
        <v>16602241.742258392</v>
      </c>
      <c r="J77" s="118">
        <v>894554.29817631398</v>
      </c>
      <c r="K77" s="116">
        <v>-16602241.742258392</v>
      </c>
      <c r="L77" s="117">
        <v>-16602241.742258385</v>
      </c>
      <c r="M77" s="118">
        <v>894554.29817631398</v>
      </c>
      <c r="N77" s="14"/>
    </row>
    <row r="78" spans="1:14" ht="15.75" thickBot="1" x14ac:dyDescent="0.3">
      <c r="A78" s="121"/>
      <c r="B78" s="121"/>
      <c r="C78" s="121"/>
      <c r="D78" s="121"/>
      <c r="E78" s="124"/>
      <c r="F78" s="119"/>
      <c r="H78" s="29"/>
      <c r="I78" s="29"/>
      <c r="J78" s="29"/>
      <c r="K78" s="29"/>
      <c r="L78" s="29"/>
      <c r="M78" s="29"/>
    </row>
    <row r="79" spans="1:14" x14ac:dyDescent="0.25">
      <c r="A79" s="65" t="s">
        <v>72</v>
      </c>
      <c r="B79" s="66"/>
      <c r="C79" s="67"/>
      <c r="D79" s="65" t="s">
        <v>54</v>
      </c>
      <c r="E79" s="125"/>
      <c r="F79" s="67"/>
      <c r="G79" s="14"/>
    </row>
    <row r="80" spans="1:14" x14ac:dyDescent="0.25">
      <c r="A80" s="126">
        <f t="array" ref="A80:C82">A70:C72+D70:F72+A75:C77+D75:F77</f>
        <v>5653333.333333334</v>
      </c>
      <c r="B80" s="127">
        <v>0</v>
      </c>
      <c r="C80" s="128">
        <v>0</v>
      </c>
      <c r="D80" s="126">
        <f t="array" ref="D80:F82">TRANSPOSE(A80:C82)</f>
        <v>5653333.333333334</v>
      </c>
      <c r="E80" s="72">
        <v>0</v>
      </c>
      <c r="F80" s="73">
        <v>0</v>
      </c>
      <c r="G80" s="14"/>
      <c r="H80" s="11"/>
      <c r="I80" s="11"/>
      <c r="J80" s="11"/>
      <c r="K80" s="11"/>
    </row>
    <row r="81" spans="1:12" x14ac:dyDescent="0.25">
      <c r="A81" s="126">
        <v>0</v>
      </c>
      <c r="B81" s="127">
        <v>128644.74074074074</v>
      </c>
      <c r="C81" s="128">
        <v>0</v>
      </c>
      <c r="D81" s="126">
        <v>0</v>
      </c>
      <c r="E81" s="72">
        <v>128644.74074074074</v>
      </c>
      <c r="F81" s="73">
        <v>0</v>
      </c>
      <c r="G81" s="32"/>
      <c r="H81" s="129" t="s">
        <v>78</v>
      </c>
      <c r="I81" s="130"/>
      <c r="J81" s="130"/>
      <c r="K81" s="131"/>
      <c r="L81" s="14"/>
    </row>
    <row r="82" spans="1:12" ht="15.75" thickBot="1" x14ac:dyDescent="0.3">
      <c r="A82" s="132">
        <v>0</v>
      </c>
      <c r="B82" s="133">
        <v>0</v>
      </c>
      <c r="C82" s="134">
        <v>80.984771321955563</v>
      </c>
      <c r="D82" s="132">
        <v>0</v>
      </c>
      <c r="E82" s="78">
        <v>0</v>
      </c>
      <c r="F82" s="79">
        <v>80.984771321955563</v>
      </c>
      <c r="G82" s="32"/>
      <c r="H82" s="135"/>
      <c r="I82" s="136">
        <f t="array" ref="I82:K84">MINVERSE(MINVERSE(A87:C89)+MINVERSE(H70:J72))+MINVERSE(MINVERSE(D87:F89)+MINVERSE(K70:M72))+MINVERSE(MINVERSE(A92:C94)+MINVERSE(H75:J77))+MINVERSE(MINVERSE(K75:M77)+MINVERSE(D92:F94))</f>
        <v>10844611.516077621</v>
      </c>
      <c r="J82" s="136">
        <v>-4.0978193283081055E-8</v>
      </c>
      <c r="K82" s="137">
        <v>-5.5479176808148623E-11</v>
      </c>
      <c r="L82" s="14"/>
    </row>
    <row r="83" spans="1:12" x14ac:dyDescent="0.25">
      <c r="A83" s="29"/>
      <c r="B83" s="29"/>
      <c r="C83" s="29"/>
      <c r="D83" s="29"/>
      <c r="E83" s="29"/>
      <c r="F83" s="29"/>
      <c r="G83" s="20"/>
      <c r="H83" s="135"/>
      <c r="I83" s="136">
        <v>-5.1688402891159058E-8</v>
      </c>
      <c r="J83" s="136">
        <v>10844611.516077617</v>
      </c>
      <c r="K83" s="137">
        <v>-3.383320290595293E-10</v>
      </c>
      <c r="L83" s="14"/>
    </row>
    <row r="84" spans="1:12" x14ac:dyDescent="0.25">
      <c r="A84" s="138" t="s">
        <v>77</v>
      </c>
      <c r="B84" s="138"/>
      <c r="C84" s="138"/>
      <c r="D84" s="138"/>
      <c r="E84" s="138"/>
      <c r="F84" s="138"/>
      <c r="G84" s="20"/>
      <c r="H84" s="139"/>
      <c r="I84" s="140">
        <v>3.9653968997299671E-10</v>
      </c>
      <c r="J84" s="140">
        <v>-3.8107828004285693E-10</v>
      </c>
      <c r="K84" s="141">
        <v>3305.9854984988701</v>
      </c>
      <c r="L84" s="14"/>
    </row>
    <row r="85" spans="1:12" ht="15.75" thickBot="1" x14ac:dyDescent="0.3">
      <c r="A85" s="142" t="s">
        <v>51</v>
      </c>
      <c r="B85" s="142"/>
      <c r="C85" s="142"/>
      <c r="D85" s="138" t="s">
        <v>55</v>
      </c>
      <c r="E85" s="138"/>
      <c r="F85" s="138"/>
      <c r="H85" s="29"/>
      <c r="I85" s="29"/>
      <c r="J85" s="29"/>
      <c r="K85" s="29"/>
    </row>
    <row r="86" spans="1:12" x14ac:dyDescent="0.25">
      <c r="A86" s="143" t="s">
        <v>73</v>
      </c>
      <c r="B86" s="144"/>
      <c r="C86" s="145"/>
      <c r="D86" s="143" t="s">
        <v>74</v>
      </c>
      <c r="E86" s="144"/>
      <c r="F86" s="145"/>
    </row>
    <row r="87" spans="1:12" x14ac:dyDescent="0.25">
      <c r="A87" s="146">
        <f t="array" ref="A87:C89">MMULT(MMULT(MMULT(MMULT($A$37:$C$39,MINVERSE($H$66:$J$68)),$A$80:$C$82),MINVERSE($D$66:$F$68)),$G$37:$I$39)</f>
        <v>2890989.0370370378</v>
      </c>
      <c r="B87" s="138">
        <v>2762344.2962962966</v>
      </c>
      <c r="C87" s="147">
        <v>6931.5763228823462</v>
      </c>
      <c r="D87" s="146">
        <f t="array" ref="D87:F89">MMULT(MMULT(MMULT(MMULT($D$37:$F$39,MINVERSE($H$66:$J$68)),$A$80:$C$82),MINVERSE($D$66:$F$68)),$J$37:$L$39)</f>
        <v>2890989.0370370368</v>
      </c>
      <c r="E87" s="138">
        <v>-2762344.2962962966</v>
      </c>
      <c r="F87" s="147">
        <v>6931.5763228823489</v>
      </c>
    </row>
    <row r="88" spans="1:12" x14ac:dyDescent="0.25">
      <c r="A88" s="146">
        <v>2762344.2962962966</v>
      </c>
      <c r="B88" s="138">
        <v>2890989.0370370368</v>
      </c>
      <c r="C88" s="147">
        <v>-6931.5763228823471</v>
      </c>
      <c r="D88" s="146">
        <v>-2762344.2962962966</v>
      </c>
      <c r="E88" s="138">
        <v>2890989.0370370378</v>
      </c>
      <c r="F88" s="147">
        <v>6931.5763228823462</v>
      </c>
    </row>
    <row r="89" spans="1:12" ht="15.75" thickBot="1" x14ac:dyDescent="0.3">
      <c r="A89" s="148">
        <v>6931.5763228823462</v>
      </c>
      <c r="B89" s="149">
        <v>-6931.5763228823471</v>
      </c>
      <c r="C89" s="150">
        <v>827.95273974862198</v>
      </c>
      <c r="D89" s="148">
        <v>6931.5763228823489</v>
      </c>
      <c r="E89" s="149">
        <v>6931.5763228823462</v>
      </c>
      <c r="F89" s="150">
        <v>827.95273974862198</v>
      </c>
    </row>
    <row r="90" spans="1:12" ht="15.75" thickBot="1" x14ac:dyDescent="0.3">
      <c r="A90" s="151"/>
      <c r="B90" s="151"/>
      <c r="C90" s="151"/>
      <c r="D90" s="138"/>
      <c r="E90" s="138"/>
      <c r="F90" s="138"/>
    </row>
    <row r="91" spans="1:12" x14ac:dyDescent="0.25">
      <c r="A91" s="143" t="s">
        <v>75</v>
      </c>
      <c r="B91" s="144"/>
      <c r="C91" s="145"/>
      <c r="D91" s="143" t="s">
        <v>76</v>
      </c>
      <c r="E91" s="144"/>
      <c r="F91" s="145"/>
    </row>
    <row r="92" spans="1:12" x14ac:dyDescent="0.25">
      <c r="A92" s="146">
        <f t="array" ref="A92:C94">MMULT(MMULT(MMULT(MMULT($A$42:$C$44,MINVERSE($H$66:$J$68)),$A$80:$C$82),MINVERSE($D$66:$F$68)),$G$42:$I$44)</f>
        <v>2890989.0370370382</v>
      </c>
      <c r="B92" s="138">
        <v>2762344.2962962971</v>
      </c>
      <c r="C92" s="147">
        <v>-6931.5763228823453</v>
      </c>
      <c r="D92" s="146">
        <f t="array" ref="D92:F94">MMULT(MMULT(MMULT(MMULT($D$42:$F$44,MINVERSE($H$66:$J$68)),$A$80:$C$82),MINVERSE($D$66:$F$68)),$J$42:$L$44)</f>
        <v>2890989.0370370359</v>
      </c>
      <c r="E92" s="138">
        <v>-2762344.2962962966</v>
      </c>
      <c r="F92" s="147">
        <v>-6931.5763228823489</v>
      </c>
      <c r="G92" s="15"/>
      <c r="I92" s="14"/>
    </row>
    <row r="93" spans="1:12" x14ac:dyDescent="0.25">
      <c r="A93" s="146">
        <v>2762344.2962962971</v>
      </c>
      <c r="B93" s="138">
        <v>2890989.0370370368</v>
      </c>
      <c r="C93" s="147">
        <v>6931.5763228823489</v>
      </c>
      <c r="D93" s="146">
        <v>-2762344.2962962966</v>
      </c>
      <c r="E93" s="138">
        <v>2890989.0370370382</v>
      </c>
      <c r="F93" s="147">
        <v>-6931.5763228823453</v>
      </c>
      <c r="H93" s="29"/>
    </row>
    <row r="94" spans="1:12" ht="15.75" thickBot="1" x14ac:dyDescent="0.3">
      <c r="A94" s="148">
        <v>-6931.5763228823453</v>
      </c>
      <c r="B94" s="149">
        <v>6931.5763228823489</v>
      </c>
      <c r="C94" s="150">
        <v>827.95273974862198</v>
      </c>
      <c r="D94" s="148">
        <v>-6931.5763228823489</v>
      </c>
      <c r="E94" s="149">
        <v>-6931.5763228823453</v>
      </c>
      <c r="F94" s="150">
        <v>827.95273974862198</v>
      </c>
    </row>
    <row r="96" spans="1:12" ht="15.75" thickBot="1" x14ac:dyDescent="0.3">
      <c r="A96" s="11"/>
      <c r="B96" s="11"/>
      <c r="C96" s="11"/>
      <c r="D96" s="11"/>
    </row>
    <row r="97" spans="1:6" x14ac:dyDescent="0.25">
      <c r="A97" s="38" t="s">
        <v>79</v>
      </c>
      <c r="B97" s="39"/>
      <c r="C97" s="39"/>
      <c r="D97" s="152"/>
      <c r="E97" s="14"/>
    </row>
    <row r="98" spans="1:6" x14ac:dyDescent="0.25">
      <c r="A98" s="45">
        <v>1</v>
      </c>
      <c r="B98" s="46">
        <v>0.5</v>
      </c>
      <c r="C98" s="46">
        <v>0</v>
      </c>
      <c r="D98" s="153">
        <v>0.5</v>
      </c>
      <c r="E98" s="14"/>
    </row>
    <row r="99" spans="1:6" x14ac:dyDescent="0.25">
      <c r="A99" s="45">
        <v>0.5</v>
      </c>
      <c r="B99" s="46">
        <v>1</v>
      </c>
      <c r="C99" s="46">
        <v>0.5</v>
      </c>
      <c r="D99" s="153">
        <v>0</v>
      </c>
      <c r="E99" s="14"/>
    </row>
    <row r="100" spans="1:6" x14ac:dyDescent="0.25">
      <c r="A100" s="45">
        <v>0</v>
      </c>
      <c r="B100" s="46">
        <v>0.5</v>
      </c>
      <c r="C100" s="46">
        <v>1</v>
      </c>
      <c r="D100" s="153">
        <v>0.5</v>
      </c>
      <c r="E100" s="14"/>
    </row>
    <row r="101" spans="1:6" ht="15.75" thickBot="1" x14ac:dyDescent="0.3">
      <c r="A101" s="52">
        <v>0.5</v>
      </c>
      <c r="B101" s="53">
        <v>0</v>
      </c>
      <c r="C101" s="53">
        <v>0.5</v>
      </c>
      <c r="D101" s="154">
        <v>1</v>
      </c>
      <c r="E101" s="14"/>
    </row>
    <row r="102" spans="1:6" x14ac:dyDescent="0.25">
      <c r="A102" s="29"/>
      <c r="B102" s="29"/>
      <c r="C102" s="29"/>
      <c r="D102" s="29"/>
    </row>
    <row r="103" spans="1:6" ht="15.75" thickBot="1" x14ac:dyDescent="0.3">
      <c r="A103" s="11"/>
      <c r="B103" s="11"/>
      <c r="D103" s="11"/>
      <c r="E103" s="11"/>
    </row>
    <row r="104" spans="1:6" x14ac:dyDescent="0.25">
      <c r="A104" s="80" t="s">
        <v>88</v>
      </c>
      <c r="B104" s="82"/>
      <c r="C104" s="32"/>
      <c r="D104" s="65" t="s">
        <v>89</v>
      </c>
      <c r="E104" s="67"/>
      <c r="F104" s="14"/>
    </row>
    <row r="105" spans="1:6" x14ac:dyDescent="0.25">
      <c r="A105" s="86" t="s">
        <v>84</v>
      </c>
      <c r="B105" s="88">
        <f t="array" ref="B105:B108">MMULT(A98:D101,E29:E32)</f>
        <v>6.2500000000000001E-5</v>
      </c>
      <c r="C105" s="32"/>
      <c r="D105" s="71" t="s">
        <v>90</v>
      </c>
      <c r="E105" s="73">
        <f>$B$110*(($B$111+$E$29)-$B$112)</f>
        <v>-97.287585185185165</v>
      </c>
      <c r="F105" s="14"/>
    </row>
    <row r="106" spans="1:6" x14ac:dyDescent="0.25">
      <c r="A106" s="86" t="s">
        <v>85</v>
      </c>
      <c r="B106" s="88">
        <v>4.9999999999999996E-5</v>
      </c>
      <c r="C106" s="32"/>
      <c r="D106" s="71" t="s">
        <v>91</v>
      </c>
      <c r="E106" s="73">
        <f>$B$110*(($B$111-$E$29)-$B$112)</f>
        <v>-103.71982222222219</v>
      </c>
      <c r="F106" s="14"/>
    </row>
    <row r="107" spans="1:6" x14ac:dyDescent="0.25">
      <c r="A107" s="86" t="s">
        <v>86</v>
      </c>
      <c r="B107" s="88">
        <v>1.2499999999999999E-5</v>
      </c>
      <c r="C107" s="32"/>
      <c r="D107" s="71" t="s">
        <v>92</v>
      </c>
      <c r="E107" s="73">
        <f>$B$110*(($B$111+$E$30)-$B$112)</f>
        <v>-98.895644444444414</v>
      </c>
      <c r="F107" s="14"/>
    </row>
    <row r="108" spans="1:6" ht="15.75" thickBot="1" x14ac:dyDescent="0.3">
      <c r="A108" s="91" t="s">
        <v>87</v>
      </c>
      <c r="B108" s="93">
        <v>2.4999999999999998E-5</v>
      </c>
      <c r="C108" s="32"/>
      <c r="D108" s="71" t="s">
        <v>93</v>
      </c>
      <c r="E108" s="73">
        <f>$B$110*(($B$111-$E$30)-$B$112)</f>
        <v>-102.11176296296294</v>
      </c>
      <c r="F108" s="14"/>
    </row>
    <row r="109" spans="1:6" x14ac:dyDescent="0.25">
      <c r="A109" s="29"/>
      <c r="B109" s="29"/>
      <c r="C109" s="20"/>
      <c r="D109" s="71" t="s">
        <v>94</v>
      </c>
      <c r="E109" s="73">
        <f>$B$110*(($B$111+$E$31)-$B$112)</f>
        <v>-100.50370370370368</v>
      </c>
      <c r="F109" s="14"/>
    </row>
    <row r="110" spans="1:6" x14ac:dyDescent="0.25">
      <c r="A110" s="103" t="s">
        <v>98</v>
      </c>
      <c r="B110" s="103">
        <f>192*B23*B25/(B19^3)</f>
        <v>64322.370370370372</v>
      </c>
      <c r="C110" s="20"/>
      <c r="D110" s="71" t="s">
        <v>95</v>
      </c>
      <c r="E110" s="73">
        <f>$B$110*(($B$111-$E$31)-$B$112)</f>
        <v>-100.50370370370368</v>
      </c>
      <c r="F110" s="14"/>
    </row>
    <row r="111" spans="1:6" x14ac:dyDescent="0.25">
      <c r="A111" s="103" t="s">
        <v>99</v>
      </c>
      <c r="B111" s="103">
        <f>(2*B28-B22)/2</f>
        <v>2.5000000000000282E-5</v>
      </c>
      <c r="C111" s="20"/>
      <c r="D111" s="71" t="s">
        <v>96</v>
      </c>
      <c r="E111" s="73">
        <f>$B$110*(($B$111+$E$32)-$B$112)</f>
        <v>-100.50370370370368</v>
      </c>
      <c r="F111" s="14"/>
    </row>
    <row r="112" spans="1:6" ht="15.75" thickBot="1" x14ac:dyDescent="0.3">
      <c r="A112" s="103" t="s">
        <v>100</v>
      </c>
      <c r="B112" s="103">
        <f>B26/2</f>
        <v>1.5874999999999999E-3</v>
      </c>
      <c r="C112" s="20"/>
      <c r="D112" s="77" t="s">
        <v>97</v>
      </c>
      <c r="E112" s="79">
        <f>$B$110*(($B$111-$E$32)-$B$112)</f>
        <v>-100.50370370370368</v>
      </c>
      <c r="F112" s="14"/>
    </row>
    <row r="113" spans="1:9" x14ac:dyDescent="0.25">
      <c r="D113" s="29"/>
      <c r="E113" s="29"/>
    </row>
    <row r="114" spans="1:9" ht="15.75" thickBot="1" x14ac:dyDescent="0.3">
      <c r="A114" s="11"/>
      <c r="B114" s="11"/>
      <c r="C114" s="11"/>
      <c r="D114" s="11"/>
      <c r="E114" s="11"/>
      <c r="F114" s="11"/>
      <c r="G114" s="11"/>
      <c r="H114" s="11"/>
    </row>
    <row r="115" spans="1:9" x14ac:dyDescent="0.25">
      <c r="A115" s="110" t="s">
        <v>101</v>
      </c>
      <c r="B115" s="111"/>
      <c r="C115" s="111"/>
      <c r="D115" s="112"/>
      <c r="E115" s="155" t="s">
        <v>104</v>
      </c>
      <c r="F115" s="81">
        <f t="array" ref="F115:I118">A98:D101/4</f>
        <v>0.25</v>
      </c>
      <c r="G115" s="81">
        <v>0.125</v>
      </c>
      <c r="H115" s="81">
        <v>0</v>
      </c>
      <c r="I115" s="82">
        <v>0.125</v>
      </c>
    </row>
    <row r="116" spans="1:9" x14ac:dyDescent="0.25">
      <c r="A116" s="156">
        <v>1</v>
      </c>
      <c r="B116" s="157">
        <v>1</v>
      </c>
      <c r="C116" s="157">
        <v>1</v>
      </c>
      <c r="D116" s="158">
        <v>1</v>
      </c>
      <c r="E116" s="159"/>
      <c r="F116" s="87">
        <v>0.125</v>
      </c>
      <c r="G116" s="87">
        <v>0.25</v>
      </c>
      <c r="H116" s="87">
        <v>0.125</v>
      </c>
      <c r="I116" s="88">
        <v>0</v>
      </c>
    </row>
    <row r="117" spans="1:9" x14ac:dyDescent="0.25">
      <c r="A117" s="156">
        <v>1</v>
      </c>
      <c r="B117" s="157">
        <v>1</v>
      </c>
      <c r="C117" s="157">
        <v>1</v>
      </c>
      <c r="D117" s="158">
        <v>1</v>
      </c>
      <c r="E117" s="159"/>
      <c r="F117" s="87">
        <v>0</v>
      </c>
      <c r="G117" s="87">
        <v>0.125</v>
      </c>
      <c r="H117" s="87">
        <v>0.25</v>
      </c>
      <c r="I117" s="88">
        <v>0.125</v>
      </c>
    </row>
    <row r="118" spans="1:9" ht="15.75" thickBot="1" x14ac:dyDescent="0.3">
      <c r="A118" s="156">
        <v>1</v>
      </c>
      <c r="B118" s="157">
        <v>1</v>
      </c>
      <c r="C118" s="157">
        <v>1</v>
      </c>
      <c r="D118" s="158">
        <v>1</v>
      </c>
      <c r="E118" s="160"/>
      <c r="F118" s="92">
        <v>0.125</v>
      </c>
      <c r="G118" s="92">
        <v>0</v>
      </c>
      <c r="H118" s="92">
        <v>0.125</v>
      </c>
      <c r="I118" s="93">
        <v>0.25</v>
      </c>
    </row>
    <row r="119" spans="1:9" ht="15.75" thickBot="1" x14ac:dyDescent="0.3">
      <c r="A119" s="161">
        <v>1</v>
      </c>
      <c r="B119" s="162">
        <v>1</v>
      </c>
      <c r="C119" s="162">
        <v>1</v>
      </c>
      <c r="D119" s="163"/>
      <c r="E119" s="164"/>
      <c r="F119" s="97"/>
      <c r="G119" s="97"/>
      <c r="H119" s="97"/>
      <c r="I119" s="165"/>
    </row>
    <row r="120" spans="1:9" ht="15.75" thickBot="1" x14ac:dyDescent="0.3">
      <c r="A120" s="24"/>
      <c r="B120" s="24"/>
      <c r="C120" s="29"/>
      <c r="D120" s="29"/>
      <c r="E120" s="29"/>
      <c r="F120" s="29"/>
      <c r="G120" s="29"/>
      <c r="H120" s="29"/>
    </row>
    <row r="121" spans="1:9" ht="15.75" thickBot="1" x14ac:dyDescent="0.3">
      <c r="A121" s="166" t="s">
        <v>102</v>
      </c>
      <c r="B121" s="175">
        <f>AVERAGE(E29:E32)</f>
        <v>1.8749999999999998E-5</v>
      </c>
      <c r="C121" s="14"/>
    </row>
    <row r="122" spans="1:9" x14ac:dyDescent="0.25">
      <c r="A122" s="65" t="s">
        <v>103</v>
      </c>
      <c r="B122" s="176">
        <f>1*$B$121</f>
        <v>1.8749999999999998E-5</v>
      </c>
      <c r="C122" s="14"/>
    </row>
    <row r="123" spans="1:9" x14ac:dyDescent="0.25">
      <c r="A123" s="71"/>
      <c r="B123" s="177">
        <f>1*$B$121</f>
        <v>1.8749999999999998E-5</v>
      </c>
      <c r="C123" s="14"/>
    </row>
    <row r="124" spans="1:9" x14ac:dyDescent="0.25">
      <c r="A124" s="71"/>
      <c r="B124" s="177">
        <f>1*$B$121</f>
        <v>1.8749999999999998E-5</v>
      </c>
      <c r="C124" s="14"/>
    </row>
    <row r="125" spans="1:9" ht="15.75" thickBot="1" x14ac:dyDescent="0.3">
      <c r="A125" s="77"/>
      <c r="B125" s="178">
        <f>1*$B$121</f>
        <v>1.8749999999999998E-5</v>
      </c>
      <c r="C125" s="14"/>
    </row>
    <row r="126" spans="1:9" x14ac:dyDescent="0.25">
      <c r="A126" s="29"/>
      <c r="B126" s="29"/>
    </row>
    <row r="128" spans="1:9" x14ac:dyDescent="0.25">
      <c r="A128" s="167" t="s">
        <v>105</v>
      </c>
      <c r="B128" s="167"/>
      <c r="D128" s="168" t="s">
        <v>106</v>
      </c>
      <c r="E128" s="168"/>
    </row>
    <row r="129" spans="1:5" x14ac:dyDescent="0.25">
      <c r="A129" s="167"/>
      <c r="B129" s="179">
        <f t="array" ref="B129:B132">MMULT(F115:I118,E29:E32)</f>
        <v>1.5625E-5</v>
      </c>
      <c r="D129" s="168" t="s">
        <v>107</v>
      </c>
      <c r="E129" s="180">
        <f t="array" ref="E129:E132">MMULT((A116:D119-A98:D101),(B122:B125-B129:B132))</f>
        <v>2.5000000000000001E-5</v>
      </c>
    </row>
    <row r="130" spans="1:5" x14ac:dyDescent="0.25">
      <c r="A130" s="167"/>
      <c r="B130" s="179">
        <v>1.2499999999999999E-5</v>
      </c>
      <c r="D130" s="168" t="s">
        <v>108</v>
      </c>
      <c r="E130" s="180">
        <v>2.1874999999999996E-5</v>
      </c>
    </row>
    <row r="131" spans="1:5" x14ac:dyDescent="0.25">
      <c r="A131" s="167"/>
      <c r="B131" s="179">
        <v>3.1249999999999997E-6</v>
      </c>
      <c r="D131" s="168" t="s">
        <v>109</v>
      </c>
      <c r="E131" s="180">
        <v>1.2499999999999997E-5</v>
      </c>
    </row>
    <row r="132" spans="1:5" x14ac:dyDescent="0.25">
      <c r="A132" s="167"/>
      <c r="B132" s="179">
        <v>6.2499999999999995E-6</v>
      </c>
      <c r="D132" s="168" t="s">
        <v>110</v>
      </c>
      <c r="E132" s="180">
        <v>3.1250000000000014E-6</v>
      </c>
    </row>
    <row r="133" spans="1:5" ht="15.75" thickBot="1" x14ac:dyDescent="0.3"/>
    <row r="134" spans="1:5" x14ac:dyDescent="0.25">
      <c r="D134" s="65" t="s">
        <v>111</v>
      </c>
      <c r="E134" s="67"/>
    </row>
    <row r="135" spans="1:5" x14ac:dyDescent="0.25">
      <c r="D135" s="71" t="s">
        <v>90</v>
      </c>
      <c r="E135" s="73">
        <f>$B$110*(($B$111+$E$129)-$B$112)</f>
        <v>-98.895644444444414</v>
      </c>
    </row>
    <row r="136" spans="1:5" x14ac:dyDescent="0.25">
      <c r="D136" s="71" t="s">
        <v>91</v>
      </c>
      <c r="E136" s="73">
        <f>$B$110*(($B$111-$E$129)-$B$112)</f>
        <v>-102.11176296296294</v>
      </c>
    </row>
    <row r="137" spans="1:5" x14ac:dyDescent="0.25">
      <c r="D137" s="71" t="s">
        <v>92</v>
      </c>
      <c r="E137" s="73">
        <f>$B$110*(($B$111+$E$130)-$B$112)</f>
        <v>-99.096651851851831</v>
      </c>
    </row>
    <row r="138" spans="1:5" x14ac:dyDescent="0.25">
      <c r="D138" s="71" t="s">
        <v>93</v>
      </c>
      <c r="E138" s="73">
        <f>$B$110*(($B$111-$E$130)-$B$112)</f>
        <v>-101.91075555555554</v>
      </c>
    </row>
    <row r="139" spans="1:5" x14ac:dyDescent="0.25">
      <c r="D139" s="71" t="s">
        <v>94</v>
      </c>
      <c r="E139" s="73">
        <f>$B$110*(($B$111+$E$131)-$B$112)</f>
        <v>-99.699674074074053</v>
      </c>
    </row>
    <row r="140" spans="1:5" x14ac:dyDescent="0.25">
      <c r="D140" s="71" t="s">
        <v>95</v>
      </c>
      <c r="E140" s="73">
        <f>$B$110*(($B$111-$E$131)-$B$112)</f>
        <v>-101.3077333333333</v>
      </c>
    </row>
    <row r="141" spans="1:5" x14ac:dyDescent="0.25">
      <c r="D141" s="71" t="s">
        <v>96</v>
      </c>
      <c r="E141" s="73">
        <f>$B$110*(($B$111+$E$132)-$B$112)</f>
        <v>-100.30269629629628</v>
      </c>
    </row>
    <row r="142" spans="1:5" ht="15.75" thickBot="1" x14ac:dyDescent="0.3">
      <c r="D142" s="77" t="s">
        <v>97</v>
      </c>
      <c r="E142" s="73">
        <f>$B$110*(($B$111-$E$132)-$B$112)</f>
        <v>-100.7047111111111</v>
      </c>
    </row>
    <row r="145" spans="1:7" x14ac:dyDescent="0.25">
      <c r="A145" s="169" t="s">
        <v>119</v>
      </c>
      <c r="B145" s="169"/>
      <c r="D145" s="170" t="s">
        <v>118</v>
      </c>
      <c r="E145" s="170"/>
    </row>
    <row r="146" spans="1:7" x14ac:dyDescent="0.25">
      <c r="A146" s="169" t="s">
        <v>112</v>
      </c>
      <c r="B146" s="169">
        <f>-((E106-E105)*SIN(B9) +(E108-E107)*SIN(B10)+(E110-E109)*SIN(B11)+(E112-E111)*SIN(B12))</f>
        <v>6.8224176406322314</v>
      </c>
      <c r="D146" s="170" t="s">
        <v>115</v>
      </c>
      <c r="E146" s="170">
        <f>-((E136-E135)*SIN(B9) +(E138-E137)*SIN(B10)+(E140-E139)*SIN(B11)+(E142-E141)*SIN(B12))</f>
        <v>2.8426740169301095</v>
      </c>
      <c r="G146" s="181"/>
    </row>
    <row r="147" spans="1:7" x14ac:dyDescent="0.25">
      <c r="A147" s="169" t="s">
        <v>113</v>
      </c>
      <c r="B147" s="169">
        <f>((E106-E105)*COS(B9) +(E108-E107)*COS(B10)+(E110-E109)*COS(B11)+(E112-E111)*COS(B12))</f>
        <v>-2.2741392135440641</v>
      </c>
      <c r="D147" s="170" t="s">
        <v>116</v>
      </c>
      <c r="E147" s="170">
        <f>((E136-E135)*COS(B9)+(E138-E137)*COS(B10)+(E140-E139)*COS(B11)+(E142-E141)*COS(B12))</f>
        <v>0.56853480338600559</v>
      </c>
    </row>
    <row r="148" spans="1:7" x14ac:dyDescent="0.25">
      <c r="A148" s="169" t="s">
        <v>114</v>
      </c>
      <c r="B148" s="169">
        <f>((E106-E105)*B18 +(E108-E107)*B18+(E110-E109)*B18+(E112-E111)*B18)</f>
        <v>-0.73520469333333316</v>
      </c>
      <c r="D148" s="170" t="s">
        <v>117</v>
      </c>
      <c r="E148" s="170">
        <f>((E136-E135)*B18 +(E138-E137)*B18+(E140-E139)*B18+(E142-E141)*B18)</f>
        <v>-0.61267057777777834</v>
      </c>
    </row>
    <row r="150" spans="1:7" x14ac:dyDescent="0.25">
      <c r="A150" s="171" t="s">
        <v>120</v>
      </c>
      <c r="B150" s="171"/>
      <c r="D150" s="172" t="s">
        <v>124</v>
      </c>
      <c r="E150" s="172"/>
    </row>
    <row r="151" spans="1:7" x14ac:dyDescent="0.25">
      <c r="A151" s="171" t="s">
        <v>121</v>
      </c>
      <c r="B151" s="171">
        <f>B146+E146</f>
        <v>9.6650916575623409</v>
      </c>
      <c r="D151" s="172"/>
      <c r="E151" s="172">
        <f t="array" ref="E151:E153">MMULT(MINVERSE(I82:K84),B151:B153) *10^6</f>
        <v>0.89123447559494229</v>
      </c>
    </row>
    <row r="152" spans="1:7" x14ac:dyDescent="0.25">
      <c r="A152" s="171" t="s">
        <v>122</v>
      </c>
      <c r="B152" s="171">
        <f t="shared" ref="B152:B153" si="4">B147+E147</f>
        <v>-1.7056044101580585</v>
      </c>
      <c r="D152" s="172"/>
      <c r="E152" s="172">
        <v>-0.15727667216382224</v>
      </c>
    </row>
    <row r="153" spans="1:7" x14ac:dyDescent="0.25">
      <c r="A153" s="171" t="s">
        <v>123</v>
      </c>
      <c r="B153" s="171">
        <f t="shared" si="4"/>
        <v>-1.3478752711111115</v>
      </c>
      <c r="D153" s="172"/>
      <c r="E153" s="172">
        <v>-407.70755701231411</v>
      </c>
    </row>
  </sheetData>
  <mergeCells count="1">
    <mergeCell ref="G6:K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2018-03-03T01:20:01Z</dcterms:created>
  <dcterms:modified xsi:type="dcterms:W3CDTF">2018-03-03T03:59:16Z</dcterms:modified>
</cp:coreProperties>
</file>